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28695" windowHeight="12540"/>
  </bookViews>
  <sheets>
    <sheet name="ORÇAMENTARIA- Atualizada Breno" sheetId="1" r:id="rId1"/>
    <sheet name="Cronograma" sheetId="4" r:id="rId2"/>
    <sheet name="COMPOSIÇÕES (2)" sheetId="5" r:id="rId3"/>
  </sheets>
  <externalReferences>
    <externalReference r:id="rId4"/>
    <externalReference r:id="rId5"/>
    <externalReference r:id="rId6"/>
    <externalReference r:id="rId7"/>
    <externalReference r:id="rId8"/>
  </externalReferences>
  <definedNames>
    <definedName name="__xlfn_AVERAGEIF">NA()</definedName>
    <definedName name="__xlnm_Print_Area" localSheetId="0">'ORÇAMENTARIA- Atualizada Breno'!$A$1:$H$264</definedName>
    <definedName name="__xlnm_Print_Titles" localSheetId="0">('ORÇAMENTARIA- Atualizada Breno'!$A:$H,'ORÇAMENTARIA- Atualizada Breno'!$1:$12)</definedName>
    <definedName name="__xlnm_Print_Titles_0" localSheetId="0">('ORÇAMENTARIA- Atualizada Breno'!$A:$H,'ORÇAMENTARIA- Atualizada Breno'!$1:$12)</definedName>
    <definedName name="_xlnm.Print_Area" localSheetId="2">'COMPOSIÇÕES (2)'!$A$1:$J$324</definedName>
    <definedName name="_xlnm.Print_Area" localSheetId="1">Cronograma!$A$1:$J$55</definedName>
    <definedName name="_xlnm.Print_Area" localSheetId="0">'ORÇAMENTARIA- Atualizada Breno'!$A$1:$H$264</definedName>
    <definedName name="Aut_original">"[1]projeto!#ref!"</definedName>
    <definedName name="Aut_resumo">"[2]resumo_aut1!#ref!"</definedName>
    <definedName name="CONCATENAR" localSheetId="2">CONCATENATE('COMPOSIÇÕES (2)'!$B1," ",'COMPOSIÇÕES (2)'!$C1)</definedName>
    <definedName name="CONS">NA()</definedName>
    <definedName name="CONSUMO">"[3]ququant!#ref!"</definedName>
    <definedName name="Descricao">NA()</definedName>
    <definedName name="DESONERACAO" localSheetId="2">IF(OR('COMPOSIÇÕES (2)'!Import_Desoneracao="DESONERADO",'COMPOSIÇÕES (2)'!Import_Desoneracao="SIM"),"SIM","NÃO")</definedName>
    <definedName name="DESONERACAO">IF(OR(Import_Desoneracao="DESONERADO",Import_Desoneracao="SIM"),"SIM","NÃO")</definedName>
    <definedName name="DIMPAV">NA()</definedName>
    <definedName name="Excel_BuiltIn__FilterDatabase" localSheetId="0">'ORÇAMENTARIA- Atualizada Breno'!$B$1:$B$269</definedName>
    <definedName name="Excel_BuiltIn_Database">NA()</definedName>
    <definedName name="Excel_BuiltIn_Print_Area" localSheetId="0">'ORÇAMENTARIA- Atualizada Breno'!$A$1:$H$264</definedName>
    <definedName name="Excel_BuiltIn_Print_Titles" localSheetId="0">('ORÇAMENTARIA- Atualizada Breno'!$A:$H,'ORÇAMENTARIA- Atualizada Breno'!$1:$12)</definedName>
    <definedName name="Import_Desoneracao" localSheetId="2">OFFSET([1]DADOS!$G$18,0,-1)</definedName>
    <definedName name="Import_Desoneracao">OFFSET([2]DADOS!$G$18,0,-1)</definedName>
    <definedName name="ISS">NA()</definedName>
    <definedName name="k">NA()</definedName>
    <definedName name="Meu">NA()</definedName>
    <definedName name="NCOMPOSICOES">50</definedName>
    <definedName name="ORÇAMENTO_BancoRef" localSheetId="2">'[3]ORÇAMENTARIA GERAL'!$F$8</definedName>
    <definedName name="ORÇAMENTO_BancoRef" localSheetId="0">'ORÇAMENTARIA- Atualizada Breno'!$G$9</definedName>
    <definedName name="ORÇAMENTO_BancoRef">'[4]ORÇAMENTARIA GERAL'!$F$8</definedName>
    <definedName name="Print">"[4]ququant!#ref!"</definedName>
    <definedName name="Print_Area_MI">"[5]qorcamentodnerl1!#ref!"</definedName>
    <definedName name="REFERENCIA_Descricao" localSheetId="2">IF(ISNUMBER('[3]ORÇAMENTARIA GERAL'!$Z1),OFFSET(INDIRECT('COMPOSIÇÕES (2)'!ORÇAMENTO_BancoRef),'[3]ORÇAMENTARIA GERAL'!$Z1-1,3,1),'[3]ORÇAMENTARIA GERAL'!$Z1)</definedName>
    <definedName name="REFERENCIA_Descricao" localSheetId="0">IF(ISNUMBER('ORÇAMENTARIA- Atualizada Breno'!$Z1),OFFSET(INDIRECT('ORÇAMENTARIA- Atualizada Breno'!ORÇAMENTO_BancoRef),'ORÇAMENTARIA- Atualizada Breno'!$Z1-1,3,1),'ORÇAMENTARIA- Atualizada Breno'!$Z1)</definedName>
    <definedName name="REFERENCIA_Descricao">IF(ISNUMBER('[4]ORÇAMENTARIA GERAL'!$Z1),OFFSET(INDIRECT(ORÇAMENTO_BancoRef),'[4]ORÇAMENTARIA GERAL'!$Z1-1,3,1),'[4]ORÇAMENTARIA GERAL'!$Z1)</definedName>
    <definedName name="REFERENCIA_Desonerado" localSheetId="2">IF(ISNUMBER('[3]ORÇAMENTARIA GERAL'!$AB1),VALUE(OFFSET(INDIRECT(#NAME?),'[3]ORÇAMENTARIA GERAL'!$AB1-1,5,1)),0)</definedName>
    <definedName name="REFERENCIA_Desonerado" localSheetId="0">IF(ISNUMBER('ORÇAMENTARIA- Atualizada Breno'!$AB1),VALUE(OFFSET(INDIRECT(#NAME?),'ORÇAMENTARIA- Atualizada Breno'!$AB1-1,5,1)),0)</definedName>
    <definedName name="REFERENCIA_Desonerado">IF(ISNUMBER('[4]ORÇAMENTARIA GERAL'!$AB1),VALUE(OFFSET(INDIRECT(#NAME?),'[4]ORÇAMENTARIA GERAL'!$AB1-1,5,1)),0)</definedName>
    <definedName name="REFERENCIA_NaoDesonerado" localSheetId="2">IF(ISNUMBER('[3]ORÇAMENTARIA GERAL'!$AB1),VALUE(OFFSET(INDIRECT(#NAME?),'[3]ORÇAMENTARIA GERAL'!$AB1-1,6,1)),0)</definedName>
    <definedName name="REFERENCIA_NaoDesonerado" localSheetId="0">IF(ISNUMBER('ORÇAMENTARIA- Atualizada Breno'!$AB1),VALUE(OFFSET(INDIRECT(#NAME?),'ORÇAMENTARIA- Atualizada Breno'!$AB1-1,6,1)),0)</definedName>
    <definedName name="REFERENCIA_NaoDesonerado">IF(ISNUMBER('[4]ORÇAMENTARIA GERAL'!$AB1),VALUE(OFFSET(INDIRECT(#NAME?),'[4]ORÇAMENTARIA GERAL'!$AB1-1,6,1)),0)</definedName>
    <definedName name="REFERENCIA_Unidade" localSheetId="2">IF(ISNUMBER('[3]ORÇAMENTARIA GERAL'!$Z1),OFFSET(INDIRECT('COMPOSIÇÕES (2)'!ORÇAMENTO_BancoRef),'[3]ORÇAMENTARIA GERAL'!$Z1-1,4,1),"-")</definedName>
    <definedName name="REFERENCIA_Unidade" localSheetId="0">IF(ISNUMBER('ORÇAMENTARIA- Atualizada Breno'!$Z1),OFFSET(INDIRECT('ORÇAMENTARIA- Atualizada Breno'!ORÇAMENTO_BancoRef),'ORÇAMENTARIA- Atualizada Breno'!$Z1-1,4,1),"-")</definedName>
    <definedName name="REFERENCIA_Unidade">IF(ISNUMBER('[4]ORÇAMENTARIA GERAL'!$Z1),OFFSET(INDIRECT(ORÇAMENTO_BancoRef),'[4]ORÇAMENTARIA GERAL'!$Z1-1,4,1),"-")</definedName>
    <definedName name="_xlnm.Print_Titles" localSheetId="2">'COMPOSIÇÕES (2)'!$A$1:$IV$8</definedName>
    <definedName name="_xlnm.Print_Titles" localSheetId="0">('ORÇAMENTARIA- Atualizada Breno'!$A:$H,'ORÇAMENTARIA- Atualizada Breno'!$1:$12)</definedName>
    <definedName name="UniformeMensageiro">NA()</definedName>
    <definedName name="UniformeMensageiros">NA()</definedName>
    <definedName name="UniformeRecepcionista">NA()</definedName>
  </definedNames>
  <calcPr calcId="125725"/>
</workbook>
</file>

<file path=xl/calcChain.xml><?xml version="1.0" encoding="utf-8"?>
<calcChain xmlns="http://schemas.openxmlformats.org/spreadsheetml/2006/main">
  <c r="L320" i="5"/>
  <c r="L314"/>
  <c r="L313"/>
  <c r="L307"/>
  <c r="L300"/>
  <c r="L277"/>
  <c r="L276"/>
  <c r="L275"/>
  <c r="L262"/>
  <c r="L261"/>
  <c r="L240"/>
  <c r="L233"/>
  <c r="L232"/>
  <c r="L194"/>
  <c r="L193"/>
  <c r="L171"/>
  <c r="L170"/>
  <c r="L169"/>
  <c r="L156"/>
  <c r="L155"/>
  <c r="L144"/>
  <c r="L143"/>
  <c r="L107"/>
  <c r="L106"/>
  <c r="L47"/>
  <c r="L6"/>
  <c r="D45" i="4"/>
  <c r="B45"/>
  <c r="D43"/>
  <c r="B43"/>
  <c r="D41"/>
  <c r="B41"/>
  <c r="D39"/>
  <c r="B39"/>
  <c r="D37"/>
  <c r="B37"/>
  <c r="D35"/>
  <c r="B35"/>
  <c r="D33"/>
  <c r="B33"/>
  <c r="D31"/>
  <c r="B31"/>
  <c r="D29"/>
  <c r="B29"/>
  <c r="D27"/>
  <c r="B27"/>
  <c r="D25"/>
  <c r="B25"/>
  <c r="D23"/>
  <c r="B23"/>
  <c r="D21"/>
  <c r="B21"/>
  <c r="D19"/>
  <c r="B19"/>
  <c r="D17"/>
  <c r="B17"/>
  <c r="D15"/>
  <c r="B15"/>
  <c r="D13"/>
  <c r="B13"/>
  <c r="D11"/>
  <c r="B11"/>
  <c r="D9"/>
  <c r="B9"/>
  <c r="D7"/>
  <c r="B7"/>
  <c r="D5"/>
  <c r="B5"/>
  <c r="A3"/>
  <c r="A2"/>
  <c r="I254" i="1"/>
  <c r="G254"/>
  <c r="H254" s="1"/>
  <c r="H253" s="1"/>
  <c r="C46" i="4" s="1"/>
  <c r="E46" s="1"/>
  <c r="G253" i="1"/>
  <c r="I252"/>
  <c r="G252"/>
  <c r="H252" s="1"/>
  <c r="I251"/>
  <c r="G251"/>
  <c r="H251" s="1"/>
  <c r="I250"/>
  <c r="G250"/>
  <c r="H250" s="1"/>
  <c r="I249"/>
  <c r="G249"/>
  <c r="H249" s="1"/>
  <c r="I248"/>
  <c r="G248"/>
  <c r="H248" s="1"/>
  <c r="I247"/>
  <c r="G247"/>
  <c r="H247" s="1"/>
  <c r="I246"/>
  <c r="G246"/>
  <c r="H246" s="1"/>
  <c r="G245"/>
  <c r="I244"/>
  <c r="G244"/>
  <c r="H244" s="1"/>
  <c r="I243"/>
  <c r="G243"/>
  <c r="H243" s="1"/>
  <c r="I242"/>
  <c r="G242"/>
  <c r="H242" s="1"/>
  <c r="I241"/>
  <c r="G241"/>
  <c r="H241" s="1"/>
  <c r="I240"/>
  <c r="G240"/>
  <c r="H240" s="1"/>
  <c r="I239"/>
  <c r="G239"/>
  <c r="H239" s="1"/>
  <c r="I238"/>
  <c r="G238"/>
  <c r="H238" s="1"/>
  <c r="I237"/>
  <c r="G237"/>
  <c r="H237" s="1"/>
  <c r="I236"/>
  <c r="G236"/>
  <c r="H236" s="1"/>
  <c r="I235"/>
  <c r="G235"/>
  <c r="H235" s="1"/>
  <c r="I234"/>
  <c r="G234"/>
  <c r="H234" s="1"/>
  <c r="I233"/>
  <c r="G233"/>
  <c r="H233" s="1"/>
  <c r="I232"/>
  <c r="G232"/>
  <c r="H232" s="1"/>
  <c r="G231"/>
  <c r="I230"/>
  <c r="G230"/>
  <c r="H230" s="1"/>
  <c r="I229"/>
  <c r="G229"/>
  <c r="H229" s="1"/>
  <c r="I228"/>
  <c r="G228"/>
  <c r="H228" s="1"/>
  <c r="I227"/>
  <c r="G227"/>
  <c r="H227" s="1"/>
  <c r="I226"/>
  <c r="G226"/>
  <c r="H226" s="1"/>
  <c r="I225"/>
  <c r="G225"/>
  <c r="H225" s="1"/>
  <c r="I224"/>
  <c r="G224"/>
  <c r="H224" s="1"/>
  <c r="I223"/>
  <c r="G223"/>
  <c r="H223" s="1"/>
  <c r="I222"/>
  <c r="G222"/>
  <c r="G221"/>
  <c r="E221"/>
  <c r="I221" s="1"/>
  <c r="G220"/>
  <c r="E220"/>
  <c r="I220" s="1"/>
  <c r="G219"/>
  <c r="E219"/>
  <c r="I219" s="1"/>
  <c r="G218"/>
  <c r="E218"/>
  <c r="I218" s="1"/>
  <c r="G217"/>
  <c r="E217"/>
  <c r="I217" s="1"/>
  <c r="I216"/>
  <c r="G216"/>
  <c r="H216" s="1"/>
  <c r="I215"/>
  <c r="G215"/>
  <c r="H215" s="1"/>
  <c r="I214"/>
  <c r="G214"/>
  <c r="H214" s="1"/>
  <c r="I213"/>
  <c r="G213"/>
  <c r="H213" s="1"/>
  <c r="G212"/>
  <c r="E212"/>
  <c r="I212" s="1"/>
  <c r="G211"/>
  <c r="E211"/>
  <c r="I211" s="1"/>
  <c r="I210"/>
  <c r="G210"/>
  <c r="H210" s="1"/>
  <c r="I209"/>
  <c r="G209"/>
  <c r="H209" s="1"/>
  <c r="I208"/>
  <c r="G208"/>
  <c r="H208" s="1"/>
  <c r="I207"/>
  <c r="G207"/>
  <c r="H207" s="1"/>
  <c r="G206"/>
  <c r="E206"/>
  <c r="I206" s="1"/>
  <c r="I205"/>
  <c r="G205"/>
  <c r="H205" s="1"/>
  <c r="I204"/>
  <c r="G204"/>
  <c r="H204" s="1"/>
  <c r="I203"/>
  <c r="G203"/>
  <c r="H203" s="1"/>
  <c r="I202"/>
  <c r="G202"/>
  <c r="H202" s="1"/>
  <c r="G201"/>
  <c r="I200"/>
  <c r="G200"/>
  <c r="H200" s="1"/>
  <c r="I199"/>
  <c r="G199"/>
  <c r="H199" s="1"/>
  <c r="I198"/>
  <c r="G198"/>
  <c r="H198" s="1"/>
  <c r="I197"/>
  <c r="G197"/>
  <c r="H197" s="1"/>
  <c r="I196"/>
  <c r="G196"/>
  <c r="H196" s="1"/>
  <c r="I195"/>
  <c r="G195"/>
  <c r="H195" s="1"/>
  <c r="I194"/>
  <c r="G194"/>
  <c r="H194" s="1"/>
  <c r="I193"/>
  <c r="G193"/>
  <c r="I192"/>
  <c r="G192"/>
  <c r="H192" s="1"/>
  <c r="I191"/>
  <c r="G191"/>
  <c r="H191" s="1"/>
  <c r="I190"/>
  <c r="G190"/>
  <c r="H190" s="1"/>
  <c r="G189"/>
  <c r="E189"/>
  <c r="G188"/>
  <c r="E188"/>
  <c r="I187"/>
  <c r="G187"/>
  <c r="H187" s="1"/>
  <c r="G186"/>
  <c r="E186"/>
  <c r="I186" s="1"/>
  <c r="I185"/>
  <c r="G185"/>
  <c r="H185" s="1"/>
  <c r="I184"/>
  <c r="G184"/>
  <c r="H184" s="1"/>
  <c r="G183"/>
  <c r="E183"/>
  <c r="I183" s="1"/>
  <c r="I182"/>
  <c r="G182"/>
  <c r="I181"/>
  <c r="G181"/>
  <c r="H181" s="1"/>
  <c r="I180"/>
  <c r="G180"/>
  <c r="H180" s="1"/>
  <c r="I179"/>
  <c r="G179"/>
  <c r="H179" s="1"/>
  <c r="I178"/>
  <c r="G178"/>
  <c r="H178" s="1"/>
  <c r="I177"/>
  <c r="G177"/>
  <c r="H177" s="1"/>
  <c r="I176"/>
  <c r="G176"/>
  <c r="H176" s="1"/>
  <c r="I175"/>
  <c r="G175"/>
  <c r="H175" s="1"/>
  <c r="I174"/>
  <c r="G174"/>
  <c r="H174" s="1"/>
  <c r="I173"/>
  <c r="G173"/>
  <c r="H173" s="1"/>
  <c r="I172"/>
  <c r="G172"/>
  <c r="H172" s="1"/>
  <c r="G171"/>
  <c r="I170"/>
  <c r="G170"/>
  <c r="H170" s="1"/>
  <c r="I169"/>
  <c r="G169"/>
  <c r="H169" s="1"/>
  <c r="I168"/>
  <c r="G168"/>
  <c r="H168" s="1"/>
  <c r="I167"/>
  <c r="G167"/>
  <c r="H167" s="1"/>
  <c r="I166"/>
  <c r="G166"/>
  <c r="H166" s="1"/>
  <c r="I165"/>
  <c r="G165"/>
  <c r="H165" s="1"/>
  <c r="I164"/>
  <c r="G164"/>
  <c r="H164" s="1"/>
  <c r="I163"/>
  <c r="G163"/>
  <c r="H163" s="1"/>
  <c r="G162"/>
  <c r="H162" s="1"/>
  <c r="I161"/>
  <c r="G161"/>
  <c r="H161" s="1"/>
  <c r="I160"/>
  <c r="G160"/>
  <c r="H160" s="1"/>
  <c r="I159"/>
  <c r="G159"/>
  <c r="H159" s="1"/>
  <c r="I158"/>
  <c r="G158"/>
  <c r="H158" s="1"/>
  <c r="I157"/>
  <c r="G157"/>
  <c r="H157" s="1"/>
  <c r="G156"/>
  <c r="E156"/>
  <c r="I156" s="1"/>
  <c r="I155"/>
  <c r="G155"/>
  <c r="H155" s="1"/>
  <c r="G154"/>
  <c r="E154"/>
  <c r="G153"/>
  <c r="H153" s="1"/>
  <c r="I152"/>
  <c r="G152"/>
  <c r="H152" s="1"/>
  <c r="G151"/>
  <c r="E151"/>
  <c r="I151" s="1"/>
  <c r="I150"/>
  <c r="G150"/>
  <c r="H150" s="1"/>
  <c r="I149"/>
  <c r="G149"/>
  <c r="H149" s="1"/>
  <c r="I148"/>
  <c r="G148"/>
  <c r="H148" s="1"/>
  <c r="I147"/>
  <c r="G147"/>
  <c r="H147" s="1"/>
  <c r="I146"/>
  <c r="G146"/>
  <c r="H146" s="1"/>
  <c r="I145"/>
  <c r="G145"/>
  <c r="H145" s="1"/>
  <c r="I144"/>
  <c r="G144"/>
  <c r="E144"/>
  <c r="G143"/>
  <c r="E143"/>
  <c r="I143" s="1"/>
  <c r="G142"/>
  <c r="H142" s="1"/>
  <c r="G141"/>
  <c r="I140"/>
  <c r="G140"/>
  <c r="H140" s="1"/>
  <c r="I139"/>
  <c r="G139"/>
  <c r="H139" s="1"/>
  <c r="I138"/>
  <c r="G138"/>
  <c r="H138" s="1"/>
  <c r="I137"/>
  <c r="G137"/>
  <c r="H137" s="1"/>
  <c r="I136"/>
  <c r="G136"/>
  <c r="H136" s="1"/>
  <c r="G135"/>
  <c r="H135" s="1"/>
  <c r="I134"/>
  <c r="G134"/>
  <c r="H134" s="1"/>
  <c r="I133"/>
  <c r="G133"/>
  <c r="H133" s="1"/>
  <c r="I132"/>
  <c r="G132"/>
  <c r="H132" s="1"/>
  <c r="I131"/>
  <c r="G131"/>
  <c r="H131" s="1"/>
  <c r="G130"/>
  <c r="H130" s="1"/>
  <c r="G129"/>
  <c r="E129"/>
  <c r="I129" s="1"/>
  <c r="G128"/>
  <c r="E128"/>
  <c r="I128" s="1"/>
  <c r="I127"/>
  <c r="G127"/>
  <c r="H127" s="1"/>
  <c r="I126"/>
  <c r="G126"/>
  <c r="H126" s="1"/>
  <c r="I125"/>
  <c r="G125"/>
  <c r="H125" s="1"/>
  <c r="I124"/>
  <c r="G124"/>
  <c r="H124" s="1"/>
  <c r="G123"/>
  <c r="H123" s="1"/>
  <c r="G122"/>
  <c r="I121"/>
  <c r="G121"/>
  <c r="H121" s="1"/>
  <c r="I120"/>
  <c r="G120"/>
  <c r="H120" s="1"/>
  <c r="I119"/>
  <c r="G119"/>
  <c r="H119" s="1"/>
  <c r="I118"/>
  <c r="G118"/>
  <c r="H118" s="1"/>
  <c r="I117"/>
  <c r="H117"/>
  <c r="G117"/>
  <c r="I116"/>
  <c r="G116"/>
  <c r="H116" s="1"/>
  <c r="I115"/>
  <c r="G115"/>
  <c r="H115" s="1"/>
  <c r="G114"/>
  <c r="I113"/>
  <c r="G113"/>
  <c r="H113" s="1"/>
  <c r="I112"/>
  <c r="G112"/>
  <c r="H112" s="1"/>
  <c r="G111"/>
  <c r="H111" s="1"/>
  <c r="I110"/>
  <c r="G110"/>
  <c r="H110" s="1"/>
  <c r="I109"/>
  <c r="G109"/>
  <c r="H109" s="1"/>
  <c r="I108"/>
  <c r="G108"/>
  <c r="H108" s="1"/>
  <c r="I107"/>
  <c r="G107"/>
  <c r="H107" s="1"/>
  <c r="I106"/>
  <c r="G106"/>
  <c r="H106" s="1"/>
  <c r="I105"/>
  <c r="G105"/>
  <c r="H105" s="1"/>
  <c r="I104"/>
  <c r="G104"/>
  <c r="H104" s="1"/>
  <c r="I103"/>
  <c r="G103"/>
  <c r="H103" s="1"/>
  <c r="I102"/>
  <c r="G102"/>
  <c r="H102" s="1"/>
  <c r="G101"/>
  <c r="E101"/>
  <c r="I100"/>
  <c r="G100"/>
  <c r="H100" s="1"/>
  <c r="I99"/>
  <c r="G99"/>
  <c r="H99" s="1"/>
  <c r="I98"/>
  <c r="G98"/>
  <c r="H98" s="1"/>
  <c r="I97"/>
  <c r="G97"/>
  <c r="G96"/>
  <c r="E96"/>
  <c r="G95"/>
  <c r="E95"/>
  <c r="G94"/>
  <c r="I93"/>
  <c r="G93"/>
  <c r="H93" s="1"/>
  <c r="G92"/>
  <c r="E92"/>
  <c r="I92" s="1"/>
  <c r="G91"/>
  <c r="E91"/>
  <c r="I91" s="1"/>
  <c r="G90"/>
  <c r="E90"/>
  <c r="I90" s="1"/>
  <c r="G89"/>
  <c r="I88"/>
  <c r="G88"/>
  <c r="I87"/>
  <c r="G87"/>
  <c r="H87" s="1"/>
  <c r="I86"/>
  <c r="G86"/>
  <c r="H86" s="1"/>
  <c r="I85"/>
  <c r="G85"/>
  <c r="H85" s="1"/>
  <c r="I84"/>
  <c r="G84"/>
  <c r="H84" s="1"/>
  <c r="G83"/>
  <c r="E83"/>
  <c r="H83" s="1"/>
  <c r="G82"/>
  <c r="E82"/>
  <c r="I81"/>
  <c r="G81"/>
  <c r="H81" s="1"/>
  <c r="I80"/>
  <c r="G80"/>
  <c r="H80" s="1"/>
  <c r="G79"/>
  <c r="I78"/>
  <c r="G78"/>
  <c r="H78" s="1"/>
  <c r="I77"/>
  <c r="G77"/>
  <c r="H77" s="1"/>
  <c r="I76"/>
  <c r="G76"/>
  <c r="H76" s="1"/>
  <c r="G75"/>
  <c r="E75"/>
  <c r="I75" s="1"/>
  <c r="I74"/>
  <c r="G74"/>
  <c r="E74"/>
  <c r="G73"/>
  <c r="I72"/>
  <c r="G72"/>
  <c r="E72"/>
  <c r="G71"/>
  <c r="E71"/>
  <c r="I71" s="1"/>
  <c r="G70"/>
  <c r="E70"/>
  <c r="I70" s="1"/>
  <c r="I69"/>
  <c r="G69"/>
  <c r="H69" s="1"/>
  <c r="G68"/>
  <c r="H68" s="1"/>
  <c r="E68"/>
  <c r="I68" s="1"/>
  <c r="G67"/>
  <c r="E67"/>
  <c r="I67" s="1"/>
  <c r="G66"/>
  <c r="G65"/>
  <c r="E65"/>
  <c r="I64"/>
  <c r="G64"/>
  <c r="H64" s="1"/>
  <c r="G63"/>
  <c r="E63"/>
  <c r="I63" s="1"/>
  <c r="G62"/>
  <c r="E62"/>
  <c r="I62" s="1"/>
  <c r="G61"/>
  <c r="E61"/>
  <c r="G60"/>
  <c r="E60"/>
  <c r="G59"/>
  <c r="E59"/>
  <c r="I59" s="1"/>
  <c r="G58"/>
  <c r="E58"/>
  <c r="I58" s="1"/>
  <c r="G57"/>
  <c r="E57"/>
  <c r="G56"/>
  <c r="E56"/>
  <c r="I55"/>
  <c r="G55"/>
  <c r="H55" s="1"/>
  <c r="G54"/>
  <c r="E54"/>
  <c r="I54" s="1"/>
  <c r="H53"/>
  <c r="G53"/>
  <c r="E53"/>
  <c r="I53" s="1"/>
  <c r="I52"/>
  <c r="H52"/>
  <c r="G52"/>
  <c r="G51"/>
  <c r="E51"/>
  <c r="I51" s="1"/>
  <c r="G50"/>
  <c r="E50"/>
  <c r="G49"/>
  <c r="E49"/>
  <c r="I49" s="1"/>
  <c r="G48"/>
  <c r="I47"/>
  <c r="G47"/>
  <c r="H47" s="1"/>
  <c r="I46"/>
  <c r="G46"/>
  <c r="H46" s="1"/>
  <c r="I45"/>
  <c r="G45"/>
  <c r="H45" s="1"/>
  <c r="I44"/>
  <c r="G44"/>
  <c r="H44" s="1"/>
  <c r="I43"/>
  <c r="G43"/>
  <c r="H43" s="1"/>
  <c r="G42"/>
  <c r="E42"/>
  <c r="I42" s="1"/>
  <c r="I41"/>
  <c r="G41"/>
  <c r="H41" s="1"/>
  <c r="G40"/>
  <c r="E40"/>
  <c r="I40" s="1"/>
  <c r="G39"/>
  <c r="E39"/>
  <c r="H39" s="1"/>
  <c r="I38"/>
  <c r="G38"/>
  <c r="H38" s="1"/>
  <c r="I37"/>
  <c r="G37"/>
  <c r="H37" s="1"/>
  <c r="I36"/>
  <c r="G36"/>
  <c r="H36" s="1"/>
  <c r="I35"/>
  <c r="G35"/>
  <c r="H35" s="1"/>
  <c r="I34"/>
  <c r="G34"/>
  <c r="H34" s="1"/>
  <c r="G33"/>
  <c r="E33"/>
  <c r="I32"/>
  <c r="G32"/>
  <c r="H32" s="1"/>
  <c r="I31"/>
  <c r="G31"/>
  <c r="H31" s="1"/>
  <c r="I30"/>
  <c r="H30"/>
  <c r="G30"/>
  <c r="I29"/>
  <c r="G29"/>
  <c r="H29" s="1"/>
  <c r="I28"/>
  <c r="G28"/>
  <c r="H28" s="1"/>
  <c r="G27"/>
  <c r="E27"/>
  <c r="I27" s="1"/>
  <c r="G26"/>
  <c r="I25"/>
  <c r="G25"/>
  <c r="H25" s="1"/>
  <c r="H24" s="1"/>
  <c r="C8" i="4" s="1"/>
  <c r="I24" i="1"/>
  <c r="G24"/>
  <c r="I23"/>
  <c r="G23"/>
  <c r="H23" s="1"/>
  <c r="I22"/>
  <c r="G22"/>
  <c r="H22" s="1"/>
  <c r="I21"/>
  <c r="G21"/>
  <c r="H21" s="1"/>
  <c r="I20"/>
  <c r="G20"/>
  <c r="H20" s="1"/>
  <c r="I19"/>
  <c r="G19"/>
  <c r="H19" s="1"/>
  <c r="I18"/>
  <c r="G18"/>
  <c r="H18" s="1"/>
  <c r="I17"/>
  <c r="G17"/>
  <c r="H17" s="1"/>
  <c r="I16"/>
  <c r="G16"/>
  <c r="H16" s="1"/>
  <c r="H72" l="1"/>
  <c r="H90"/>
  <c r="H92"/>
  <c r="H206"/>
  <c r="H67"/>
  <c r="H91"/>
  <c r="J46" i="4"/>
  <c r="F46"/>
  <c r="I46"/>
  <c r="H46"/>
  <c r="F8"/>
  <c r="G46"/>
  <c r="H42" i="1"/>
  <c r="H50"/>
  <c r="H57"/>
  <c r="H60"/>
  <c r="H151"/>
  <c r="H183"/>
  <c r="H211"/>
  <c r="H221"/>
  <c r="H193"/>
  <c r="C36" i="4" s="1"/>
  <c r="I36" s="1"/>
  <c r="H56" i="1"/>
  <c r="H61"/>
  <c r="H217"/>
  <c r="H219"/>
  <c r="H75"/>
  <c r="E89"/>
  <c r="I89" s="1"/>
  <c r="H129"/>
  <c r="H144"/>
  <c r="H156"/>
  <c r="I39"/>
  <c r="I50"/>
  <c r="I56"/>
  <c r="I60"/>
  <c r="H218"/>
  <c r="H54"/>
  <c r="I57"/>
  <c r="I61"/>
  <c r="H71"/>
  <c r="H74"/>
  <c r="H128"/>
  <c r="H143"/>
  <c r="H212"/>
  <c r="H201" s="1"/>
  <c r="C38" i="4" s="1"/>
  <c r="H220" i="1"/>
  <c r="H49"/>
  <c r="H95"/>
  <c r="H189"/>
  <c r="H40"/>
  <c r="H51"/>
  <c r="H58"/>
  <c r="H62"/>
  <c r="H65"/>
  <c r="H96"/>
  <c r="H154"/>
  <c r="H141" s="1"/>
  <c r="C30" i="4" s="1"/>
  <c r="I30" s="1"/>
  <c r="H188" i="1"/>
  <c r="H27"/>
  <c r="H33"/>
  <c r="H59"/>
  <c r="H63"/>
  <c r="H70"/>
  <c r="H82"/>
  <c r="H79" s="1"/>
  <c r="C18" i="4" s="1"/>
  <c r="H18" s="1"/>
  <c r="H101" i="1"/>
  <c r="H97" s="1"/>
  <c r="C24" i="4" s="1"/>
  <c r="J24" s="1"/>
  <c r="H186" i="1"/>
  <c r="H73"/>
  <c r="C16" i="4" s="1"/>
  <c r="F16" s="1"/>
  <c r="H94" i="1"/>
  <c r="C22" i="4" s="1"/>
  <c r="J22" s="1"/>
  <c r="H231" i="1"/>
  <c r="C42" i="4" s="1"/>
  <c r="H42" s="1"/>
  <c r="H114" i="1"/>
  <c r="C26" i="4" s="1"/>
  <c r="H26" s="1"/>
  <c r="H245" i="1"/>
  <c r="C44" i="4" s="1"/>
  <c r="I44" s="1"/>
  <c r="H171" i="1"/>
  <c r="C32" i="4" s="1"/>
  <c r="G32" s="1"/>
  <c r="H222" i="1"/>
  <c r="C40" i="4" s="1"/>
  <c r="J40" s="1"/>
  <c r="I33" i="1"/>
  <c r="I65"/>
  <c r="I82"/>
  <c r="I83"/>
  <c r="I95"/>
  <c r="I96"/>
  <c r="I101"/>
  <c r="I154"/>
  <c r="I188"/>
  <c r="I189"/>
  <c r="J38" i="4" l="1"/>
  <c r="D38" s="1"/>
  <c r="I38"/>
  <c r="H38"/>
  <c r="J44"/>
  <c r="G30"/>
  <c r="I18"/>
  <c r="F32"/>
  <c r="H22"/>
  <c r="H32"/>
  <c r="H24"/>
  <c r="J32"/>
  <c r="I40"/>
  <c r="I24"/>
  <c r="J30"/>
  <c r="H36"/>
  <c r="H66" i="1"/>
  <c r="C14" i="4" s="1"/>
  <c r="H122" i="1"/>
  <c r="C28" i="4" s="1"/>
  <c r="J36"/>
  <c r="D36" s="1"/>
  <c r="I26"/>
  <c r="J42"/>
  <c r="H30"/>
  <c r="I16"/>
  <c r="G16"/>
  <c r="I22"/>
  <c r="G18"/>
  <c r="I255" i="1"/>
  <c r="I256" s="1"/>
  <c r="F15" s="1"/>
  <c r="G15" s="1"/>
  <c r="H15" s="1"/>
  <c r="H14" s="1"/>
  <c r="C6" i="4" s="1"/>
  <c r="H48" i="1"/>
  <c r="C12" i="4" s="1"/>
  <c r="I42"/>
  <c r="H16"/>
  <c r="I32"/>
  <c r="D44"/>
  <c r="D30"/>
  <c r="D26"/>
  <c r="D46"/>
  <c r="D22"/>
  <c r="D40"/>
  <c r="D18"/>
  <c r="D32"/>
  <c r="D16"/>
  <c r="D8"/>
  <c r="D42"/>
  <c r="H26" i="1"/>
  <c r="H182"/>
  <c r="C34" i="4" s="1"/>
  <c r="H89" i="1"/>
  <c r="H88" s="1"/>
  <c r="C20" i="4" s="1"/>
  <c r="D24" l="1"/>
  <c r="G28"/>
  <c r="D28" s="1"/>
  <c r="I28"/>
  <c r="J28"/>
  <c r="H28"/>
  <c r="H255" i="1"/>
  <c r="C10" i="4"/>
  <c r="G34"/>
  <c r="H34"/>
  <c r="F34"/>
  <c r="D34" s="1"/>
  <c r="G20"/>
  <c r="D20" s="1"/>
  <c r="H20"/>
  <c r="I20"/>
  <c r="G12"/>
  <c r="H12"/>
  <c r="F12"/>
  <c r="I6"/>
  <c r="E6"/>
  <c r="H6"/>
  <c r="F6"/>
  <c r="J6"/>
  <c r="G6"/>
  <c r="F14"/>
  <c r="G14"/>
  <c r="I14"/>
  <c r="H14"/>
  <c r="E10" l="1"/>
  <c r="H10"/>
  <c r="J10"/>
  <c r="J48" s="1"/>
  <c r="J47" s="1"/>
  <c r="I10"/>
  <c r="I48" s="1"/>
  <c r="G48"/>
  <c r="D6"/>
  <c r="D14"/>
  <c r="H48"/>
  <c r="D12"/>
  <c r="F48"/>
  <c r="F47" s="1"/>
  <c r="C48"/>
  <c r="I47" l="1"/>
  <c r="C37"/>
  <c r="C31"/>
  <c r="C15"/>
  <c r="C25"/>
  <c r="C43"/>
  <c r="C13"/>
  <c r="C29"/>
  <c r="C39"/>
  <c r="C35"/>
  <c r="C19"/>
  <c r="C45"/>
  <c r="C21"/>
  <c r="C23"/>
  <c r="C27"/>
  <c r="C7"/>
  <c r="C41"/>
  <c r="C17"/>
  <c r="C11"/>
  <c r="C33"/>
  <c r="C5"/>
  <c r="E48"/>
  <c r="D10"/>
  <c r="H47"/>
  <c r="C9"/>
  <c r="G47"/>
  <c r="E47" l="1"/>
  <c r="D47" s="1"/>
  <c r="D48"/>
  <c r="C47"/>
</calcChain>
</file>

<file path=xl/sharedStrings.xml><?xml version="1.0" encoding="utf-8"?>
<sst xmlns="http://schemas.openxmlformats.org/spreadsheetml/2006/main" count="1984" uniqueCount="978">
  <si>
    <t>PLANILHA DE CUSTOS</t>
  </si>
  <si>
    <t>CONTRATANTE: PREFEITURA MUNICIPAL DE LAGOA SANTA</t>
  </si>
  <si>
    <t>LOCAL: PRAÇA DAS ESTRELAS, BAIRRO SOLARIUM</t>
  </si>
  <si>
    <t>REGIÃO/MÊS DE REFERÊNCIA: SINAPI MAIO/2023; SUDECAP ABRIL/2023; SETOP ABRIL/2023</t>
  </si>
  <si>
    <t>BDI:</t>
  </si>
  <si>
    <t>ITEM</t>
  </si>
  <si>
    <t>CÓDIGO</t>
  </si>
  <si>
    <t>DESCRIÇÃO</t>
  </si>
  <si>
    <t>UNIDADE</t>
  </si>
  <si>
    <t>QUANTIDADE</t>
  </si>
  <si>
    <t>PREÇO UNITÁRIO S/ BDI</t>
  </si>
  <si>
    <t>PREÇO UNITÁRIO C/ BDI</t>
  </si>
  <si>
    <t>PREÇO TOTAL</t>
  </si>
  <si>
    <t>REFORMA DA UBS SOLARIUM</t>
  </si>
  <si>
    <t>1.1.</t>
  </si>
  <si>
    <t>SERVIÇOS PRELIMINARES</t>
  </si>
  <si>
    <t>-</t>
  </si>
  <si>
    <t>1.1.1</t>
  </si>
  <si>
    <t>ED-50393</t>
  </si>
  <si>
    <t>MOBILIZAÇÃO E DESMOBILIZAÇÃO DE OBRA EM CENTRO URBANO OU REGIÃO LIMÍTROFE COM VALOR ENTRE 1.000.000,01 E 3.000.000,00 - 0,3%</t>
  </si>
  <si>
    <t>UNI</t>
  </si>
  <si>
    <t>1.1.2</t>
  </si>
  <si>
    <t>ED-28428</t>
  </si>
  <si>
    <t>FORNECIMENTO E COLOCAÇÃO DE PLACA DE OBRA EM CHAPA GALVANIZADA #26, ESP. 0,45MM, DIMENSÃO (4X3)M, PLOTADA COM ADESIVO VINÍLICO, AFIXADA COM REBITES 4,8X40MM, EM ESTRUTURA METÁLICA DE METALON 20X20MM, ESP. 1,25MM, INCLUSIVE SUPORTE EM EUCALIPTO AUTOCLAVADO PINTADO COM TINTA PVA DUAS (2) DEMÃOS</t>
  </si>
  <si>
    <t>un</t>
  </si>
  <si>
    <t>1.1.3</t>
  </si>
  <si>
    <t>ED-50128</t>
  </si>
  <si>
    <t>BARRACÃO DE OBRA PARA DEPÓSITO E FERRAMENTARIA TIPO-I, ÁREA INTERNA 14,52M2, EM CHAPA DE COMPENSADO RESINADO, INCLUSIVE MOBILIÁRIO (OBRA DE PEQUENO PORTE, EFETIVO ATÉ 30 HOMENS), PADRÃO DER-MG</t>
  </si>
  <si>
    <t>1.1.4</t>
  </si>
  <si>
    <t>ED-16353</t>
  </si>
  <si>
    <t>LOCAÇÃO DE CONTAINER COM ISOLAMENTO TÉRMICO, TIPO 6, PARA VESTIÁRIO DE OBRA COM SETE (7) VASOS SANITÁRIOS, UM (1) MICTÓRIO E UM (1) LAVATÓRIO, COM MEDIDAS REFERENCIAIS DE (6) METROS COMPRIMENTO, (2,3) METROS LARGURA E (2,5) METROS ALTURA ÚTIL INTERNA, INCLUSIVE LIGAÇÕES ELÉTRICAS E HIDROSSANITÁRIAS INTERNAS, EXCLUSIVE MOBILIZAÇÃO/DESMOBILIZAÇÃO E LIGAÇÕES PROVISÓRIAS EXTERNAS</t>
  </si>
  <si>
    <t>mês</t>
  </si>
  <si>
    <t>1.1.5</t>
  </si>
  <si>
    <t>ED-16351</t>
  </si>
  <si>
    <t>LOCAÇÃO DE CONTAINER COM ISOLAMENTO TÉRMICO, TIPO 4, PARA REFEITÓRIO DE OBRA, COM MEDIDAS REFERENCIAIS DE (6) METROS COMPRIMENTO, (2,3) METROS LARGURA E (2,5) METROS ALTURA ÚTIL INTERNA, INCLUSIVE LIGAÇÕES ELÉTRICAS INTERNAS, EXCLUSIVE MOBILIZAÇÃO/DESMOBILIZAÇÃO E LIGAÇÕES PROVISÓRIAS EXTERNAS</t>
  </si>
  <si>
    <t>1.1.6</t>
  </si>
  <si>
    <t>ED-50159</t>
  </si>
  <si>
    <t>TAPUME FIXO DE PROTEÇÃO PARA FECHAMENTO DE OBRA EM CHAPA DE COMPENSADO, ESP. 12MM, COM MÓDULO NA DIMENSÃO DE (110X220)CM, INCLUSIVE PINTURA LÁTEX (PVA) COM DUAS (2) DEMÃOS, EXCLUSIVE ABERTURA PARA PORTÃO</t>
  </si>
  <si>
    <t>m</t>
  </si>
  <si>
    <t>1.1.7</t>
  </si>
  <si>
    <t>ED-50162</t>
  </si>
  <si>
    <t>ABERTURA PARA PORTÃO EM TAPUME FIXO DE PROTEÇÃO PARA FECHAMENTO DE OBRA EM CHAPA DE COMPENSADO, ESP. 12MM, COM MÓDULO NA DIMENSÃO DE (110X220)CM, INCLUSIVE PINTURA LÁTEX (PVA) COM DUAS (2) DEMÃOS</t>
  </si>
  <si>
    <t>m2</t>
  </si>
  <si>
    <t>1.1.8</t>
  </si>
  <si>
    <t>ED-50166</t>
  </si>
  <si>
    <t>REMANEJAMENTO DE TAPUME FIXO DE PROTEÇÃO PARA FECHAMENTO DE OBRA, INCLUSIVE ESCAVAÇÃO MANUAL E REATERRO COMPACTADO</t>
  </si>
  <si>
    <t>1.1.9</t>
  </si>
  <si>
    <t>01.04.05</t>
  </si>
  <si>
    <t>INFORME PUBLIC.LONA IMP.DIGITAL APLICADO EM TAPUME</t>
  </si>
  <si>
    <t>M2</t>
  </si>
  <si>
    <t>1.2</t>
  </si>
  <si>
    <t xml:space="preserve">LOCAÇÃO DE OBRA  </t>
  </si>
  <si>
    <t>1.2.1</t>
  </si>
  <si>
    <t>ED-17989</t>
  </si>
  <si>
    <t>LOCAÇÃO DE OBRA COM GABARITO DE TÁBUAS CORRIDAS PONTALETADAS A CADA 2,00M, REAPROVEITAMENTO (2X), INCLUSIVE ACOMPANHAMENTO DE EQUIPE TOPOGRÁFICA PARA MARCAÇÃO DE PONTO TOPOGRÁFICO</t>
  </si>
  <si>
    <t>1.3</t>
  </si>
  <si>
    <t>DEMOLIÇÕES E REMOÇÕES</t>
  </si>
  <si>
    <t>1.3.1</t>
  </si>
  <si>
    <t>DEMOLIÇÃO DE ALVENARIA DE BLOCO FURADO, DE FORMA MANUAL, SEM REAPROVEITAMENTO. AF_12/2017</t>
  </si>
  <si>
    <t>M3</t>
  </si>
  <si>
    <t>1.3.2</t>
  </si>
  <si>
    <t>ED-48463</t>
  </si>
  <si>
    <t>DEMOLIÇÃO MANUAL DE FORRO DE CHAPA OU PLACA DE GESSO, INCLUSIVE DEMOLIÇÃO DA ESTRUTURA DE SUSTENTAÇÃO, AFASTAMENTO E EMPILHAMENTO, EXCLUSIVE TRANSPORTE E RETIRADA DO MATERIAL DEMOLIDO</t>
  </si>
  <si>
    <t>1.3.3</t>
  </si>
  <si>
    <t>DEMOLIÇÃO DE PILARES E VIGAS EM CONCRETO ARMADO, DE FORMA MECANIZADA COM MARTELETE, SEM REAPROVEITAMENTO. AF_12/2017</t>
  </si>
  <si>
    <t>1.3.4</t>
  </si>
  <si>
    <t>DEMOLIÇÃO DE LAJES, DE FORMA MECANIZADA COM MARTELETE, SEM REAPROVEITAMENTO. AF_12/2017</t>
  </si>
  <si>
    <t>1.3.5</t>
  </si>
  <si>
    <t>ED-48480</t>
  </si>
  <si>
    <t>DEMOLIÇÃO MANUAL DE PISO CERÂMICO OU LADRILHO HIDRÁULICO, INCLUSIVE AFASTAMENTO E EMPILHAMENTO, EXCLUSIVE DEMOLIÇÃO DE CONTRAPISO, TRANSPORTE E RETIRADA DO MATERIAL DEMOLIDO</t>
  </si>
  <si>
    <t>1.3.6</t>
  </si>
  <si>
    <t>ED-48479</t>
  </si>
  <si>
    <t>DEMOLIÇÃO MANUAL DE PISO CIMENTADO OU CONTRAPISO DE ARGAMASSA, COM ESPESSURA MÁXIMA DE 10CM, INCLUSIVE AFASTAMENTO E EMPILHAMENTO, EXCLUSIVE TRANSPORTE E RETIRADA DO MATERIAL DEMOLIDO</t>
  </si>
  <si>
    <t>1.3.7</t>
  </si>
  <si>
    <t>DEMOLIÇÃO DE REVESTIMENTO CERÂMICO, DE FORMA MANUAL, SEM REAPROVEITAMENTO. AF_12/2017</t>
  </si>
  <si>
    <t>1.3.8</t>
  </si>
  <si>
    <t>DEMOLIÇÃO DE PAVIMENTO INTERTRAVADO, DE FORMA MANUAL, COM REAPROVEITAMENTO. AF_12/2017</t>
  </si>
  <si>
    <t>1.3.9</t>
  </si>
  <si>
    <t>ED-48509</t>
  </si>
  <si>
    <t>REMOÇÃO MANUAL DE TELHA METÁLICA OU PVC, COM REAPROVEITAMENTO, INCLUSIVE AFASTAMENTO E EMPILHAMENTO, EXCLUSIVE TRANSPORTE E RETIRADA DO MATERIAL REMOVIDO NÃO REAPROVEITÁVEL</t>
  </si>
  <si>
    <t>1.3.10</t>
  </si>
  <si>
    <t>ED-48438</t>
  </si>
  <si>
    <t>REMOÇÃO DE CALHA EM CHAPA GALVANIZADA OU EM PVC, COM REAPROVEITAMENTO, INCLUSIVE AFASTAMENTO E EMPILHAMENTO, EXCLUSIVE TRANSPORTE E RETIRADA DO MATERIAL REMOVIDO NÃO REAPROVEITÁVEL</t>
  </si>
  <si>
    <t>1.3.11</t>
  </si>
  <si>
    <t>ED-51131</t>
  </si>
  <si>
    <t>CARGA DE MATERIAL DE QUALQUER NATUREZA SOBRE CAMINHÃO - MANUAL</t>
  </si>
  <si>
    <t>m3</t>
  </si>
  <si>
    <t>1.3.12</t>
  </si>
  <si>
    <t>02.29.01</t>
  </si>
  <si>
    <t>TRANSPORTE DE MATERIAL DE QUALQUER NATUREZA EM CAÇAMBA 5m³</t>
  </si>
  <si>
    <t>VG</t>
  </si>
  <si>
    <t>1.3.13</t>
  </si>
  <si>
    <t>ED-48467</t>
  </si>
  <si>
    <t>REMOÇÃO DE LOUÇAS (LAVATÓRIO, BANHEIRA, PIA, VASO SANITÁRIO, TANQUE), COM REAPROVEITAMENTO, INCLUSIVE AFASTAMENTO E EMPILHAMENTO, EXCLUSIVE TRANSPORTE E RETIRADA DO MATERIAL REMOVIDO NÃO REAPROVEITÁVEL</t>
  </si>
  <si>
    <t>1.3.14</t>
  </si>
  <si>
    <t>ED-48437</t>
  </si>
  <si>
    <t>REMOÇÃO MANUAL DE BANCADA DE PEDRA (MÁRMORE, GRANITO, ARDÓSIA, MARMORITE, ETC.), COM REAPROVEITAMENTO, INCLUSIVE RASGO EM ALVENARIA, REMOÇÃO DE ACESSÓRIOS DE FIXAÇÃO, AFASTAMENTO E EMPILHAMENTO, EXCLUSIVE TRANSPORTE E RETIRADA DO MATERIAL REMOVIDO NÃO REAPROVEITÁVEL</t>
  </si>
  <si>
    <t>1.3.15</t>
  </si>
  <si>
    <t>02.19.01</t>
  </si>
  <si>
    <t>DEMOLIÇÃO DE DIVISÓRIA DE PEDRAS (MÁRMORE, GRANITO, ARDÓSIA, MARMORITE), INCLUSIVE AFASTAMENTO</t>
  </si>
  <si>
    <t>1.3.16</t>
  </si>
  <si>
    <t>ED-48493</t>
  </si>
  <si>
    <t>REMOÇÃO MANUAL DE ESQUADRIA EM MADEIRA, COM REAPROVEITAMENTO, INCLUSIVE REMOÇÃO DE MARCO/ALIZAR/GUARNIÇÕES, AFASTAMENTO E EMPILHAMENTO, EXCLUSIVE TRANSPORTE E RETIRADA DO MATERIAL REMOVIDO NÃO REAPROVEITÁVEL</t>
  </si>
  <si>
    <t>1.3.17</t>
  </si>
  <si>
    <t>ED-48497</t>
  </si>
  <si>
    <t>REMOÇÃO DE PORTA OU JANELA METÁLICA, INCLUSIVE AFASTAMENTO</t>
  </si>
  <si>
    <t>1.3.18</t>
  </si>
  <si>
    <t>REMOÇÃO DE VIDRO TEMPERADO FIXADO EM PERFIL U. AF_01/2021</t>
  </si>
  <si>
    <t>1.3.19</t>
  </si>
  <si>
    <t>02.19.06</t>
  </si>
  <si>
    <t>REMOÇÃO DE DIVISÓRIA DE LAMINADO</t>
  </si>
  <si>
    <t>1.3.20</t>
  </si>
  <si>
    <t>ED-48500</t>
  </si>
  <si>
    <t>DEMOLIÇÃO MANUAL DE TUBULAÇÕES EMBUTIDAS DE REDE (ÁGUA, ELÉTRICA, GASES, ETC.), INCLUSIVE RASGO EM ALVENARIA, REMOÇÃO DE ACESSÓRIOS DE FIXAÇÃO, AFASTAMENTO E EMPILHAMENTO, EXCLUSIVE TRANSPORTE E RETIRADA DO MATERIAL DEMOLIDO</t>
  </si>
  <si>
    <t>1.3.21</t>
  </si>
  <si>
    <t>ED-48515</t>
  </si>
  <si>
    <t>REMOÇÃO MANUAL DE TUBULAÇÕES EMBUTIDAS DE REDE (ÁGUA, ELÉTRICA, GASES, ETC.), COM REAPROVEITAMENTO, INCLUSIVE RASGO EM ALVENARIA, REMOÇÃO DE ACESSÓRIOS DE FIXAÇÃO, AFASTAMENTO E EMPILHAMENTO, EXCLUSIVE TRANSPORTE E RETIRADA DO MATERIAL REMOVIDO NÃO REAPROVEITÁVEL</t>
  </si>
  <si>
    <t>1.4</t>
  </si>
  <si>
    <t>FUNDAÇÕES</t>
  </si>
  <si>
    <t>1.4.1</t>
  </si>
  <si>
    <t>ESCAVAÇÃO MANUAL PARA BLOCO DE COROAMENTO OU SAPATA (INCLUINDO ESCAVAÇÃO PARA COLOCAÇÃO DE FÔRMAS). AF_06/2017</t>
  </si>
  <si>
    <t>1.4.2</t>
  </si>
  <si>
    <t>RO-40239</t>
  </si>
  <si>
    <t>APILOAMENTO DE FUNDO DE VALAS</t>
  </si>
  <si>
    <t>1.4.3</t>
  </si>
  <si>
    <t>LASTRO DE CONCRETO MAGRO, APLICADO EM BLOCOS DE COROAMENTO OU SAPATAS, ESPESSURA DE 3 CM. AF_08/2017</t>
  </si>
  <si>
    <t>1.4.4</t>
  </si>
  <si>
    <t>TUBULÃO A CÉU ABERTO, DIÂMETRO DO FUSTE DE 80CM, ESCAVAÇÃO MANUAL, SEM ALARGAMENTO DE BASE, CONCRETO FEITO EM OBRA E LANÇADO COM JERICA. AF_05/2020</t>
  </si>
  <si>
    <t>1.4.5</t>
  </si>
  <si>
    <t>ESCAVAÇÃO MANUAL DE VALA PARA VIGA BALDRAME (INCLUINDO ESCAVAÇÃO PARA COLOCAÇÃO DE FÔRMAS). AF_06/2017</t>
  </si>
  <si>
    <t>1.4.6</t>
  </si>
  <si>
    <t>ED-49812</t>
  </si>
  <si>
    <t xml:space="preserve">LASTRO DE CONCRETO MAGRO, INCLUSIVE TRANSPORTE, LANÇAMENTO E ADENSAMENTO </t>
  </si>
  <si>
    <t>1.4.7</t>
  </si>
  <si>
    <t>REATERRO MANUAL DE VALAS COM COMPACTAÇÃO MECANIZADA. AF_04/2016</t>
  </si>
  <si>
    <t>1.4.8</t>
  </si>
  <si>
    <t>ED-51133</t>
  </si>
  <si>
    <t>TRANSPORTE DE MATERIAL DE QUALQUER NATUREZA COM CARRINHO DE MÃO, COM DISTÂNCIAS MENORES OU IGUAIS A 50M, INCLUSIVE CARGA/DESCARGA</t>
  </si>
  <si>
    <t>1.4.9</t>
  </si>
  <si>
    <t>ED-29230</t>
  </si>
  <si>
    <t>TRANSPORTE DE MATERIAL DE QUALQUER NATUREZA EM CAMINHÃO, DISTÂNCIA MAIOR QUE 1KM E MENOR OU IGUAL A 2KM, DENTRO DO PERÍMETRO URBANO, EXCLUSIVE CARGA, INCLUSIVE DESCARGA</t>
  </si>
  <si>
    <t>1.4.10</t>
  </si>
  <si>
    <t>FABRICAÇÃO, MONTAGEM E DESMONTAGEM DE FÔRMA PARA SAPATA, EM CHAPA DE MADEIRA COMPENSADA RESINADA, E=17 MM, 2 UTILIZAÇÕES. AF_06/2017</t>
  </si>
  <si>
    <t>1.4.11</t>
  </si>
  <si>
    <t>FABRICAÇÃO, MONTAGEM E DESMONTAGEM DE FÔRMA PARA VIGA BALDRAME, EM CHAPA DE MADEIRA COMPENSADA RESINADA, E=17 MM, 2 UTILIZAÇÕES. AF_06/2017</t>
  </si>
  <si>
    <t>1.4.12</t>
  </si>
  <si>
    <t>ARMAÇÃO DE BLOCO, VIGA BALDRAME E SAPATA UTILIZANDO AÇO CA-60 DE 5 MM - MONTAGEM. AF_06/2017</t>
  </si>
  <si>
    <t>KG</t>
  </si>
  <si>
    <t>1.4.13</t>
  </si>
  <si>
    <t>ARMAÇÃO DE BLOCO, VIGA BALDRAME OU SAPATA UTILIZANDO AÇO CA-50 DE 8 MM - MONTAGEM. AF_06/2017</t>
  </si>
  <si>
    <t>1.4.14</t>
  </si>
  <si>
    <t>ARMAÇÃO DE BLOCO, VIGA BALDRAME OU SAPATA UTILIZANDO AÇO CA-50 DE 10 MM - MONTAGEM. AF_06/2017</t>
  </si>
  <si>
    <t>1.4.15</t>
  </si>
  <si>
    <t>CONCRETAGEM DE BLOCOS DE COROAMENTO E VIGAS BALDRAME, FCK 30 MPA, COM USO DE JERICA  LANÇAMENTO, ADENSAMENTO E ACABAMENTO. AF_06/2017</t>
  </si>
  <si>
    <t>1.4.16</t>
  </si>
  <si>
    <t>CONCRETAGEM DE SAPATAS, FCK 30 MPA, COM USO DE JERICA  LANÇAMENTO, ADENSAMENTO E ACABAMENTO. AF_06/2017</t>
  </si>
  <si>
    <t>1.4.17</t>
  </si>
  <si>
    <t>IMPERMEABILIZAÇÃO DE SUPERFÍCIE COM EMULSÃO ASFÁLTICA, 2 DEMÃOS AF_06/2018</t>
  </si>
  <si>
    <t>1.5</t>
  </si>
  <si>
    <t>ESTRUTURA</t>
  </si>
  <si>
    <t>1.5.1</t>
  </si>
  <si>
    <t>FABRICAÇÃO DE FÔRMA PARA PILARES E ESTRUTURAS SIMILARES, EM CHAPA DE MADEIRA COMPENSADA RESINADA, E = 17 MM. AF_09/2020</t>
  </si>
  <si>
    <t>1.5.2</t>
  </si>
  <si>
    <t>FABRICAÇÃO DE FÔRMA PARA VIGAS, EM CHAPA DE MADEIRA COMPENSADA RESINADA, E = 17 MM. AF_09/2020</t>
  </si>
  <si>
    <t>1.5.3</t>
  </si>
  <si>
    <t>ED-48298</t>
  </si>
  <si>
    <t>CORTE, DOBRA E MONTAGEM DE AÇO CA-50/60</t>
  </si>
  <si>
    <t>1.5.4</t>
  </si>
  <si>
    <t>CONCRETAGEM DE PILARES, FCK = 25 MPA,  COM USO DE BALDES - LANÇAMENTO, ADENSAMENTO E ACABAMENTO. AF_02/2022</t>
  </si>
  <si>
    <t>1.5.5</t>
  </si>
  <si>
    <t>CONCRETAGEM DE VIGAS E LAJES, FCK=25 MPA, PARA LAJES PREMOLDADAS COM USO DE BOMBA - LANÇAMENTO, ADENSAMENTO E ACABAMENTO. AF_02/2022</t>
  </si>
  <si>
    <t>1.5.6</t>
  </si>
  <si>
    <t>LAJE PRÉ-MOLDADA UNIDIRECIONAL, BIAPOIADA, PARA FORRO, ENCHIMENTO EM CERÂMICA, VIGOTA CONVENCIONAL, ALTURA TOTAL DA LAJE (ENCHIMENTO+CAPA) = (8+3). AF_11/2020</t>
  </si>
  <si>
    <t>1.6</t>
  </si>
  <si>
    <t>ALVENARIA</t>
  </si>
  <si>
    <t>1.6.1</t>
  </si>
  <si>
    <t>ED-48232</t>
  </si>
  <si>
    <t>ALVENARIA DE VEDAÇÃO COM TIJOLO CERÂMICO FURADO, ESP. 14CM, PARA REVESTIMENTO, INCLUSIVE ARGAMASSA PARA ASSENTAMENTO</t>
  </si>
  <si>
    <t>1.6.2</t>
  </si>
  <si>
    <t>ED-48233</t>
  </si>
  <si>
    <t>ALVENARIA DE VEDAÇÃO COM TIJOLO CERÂMICO FURADO, ESP. 19CM, PARA REVESTIMENTO, INCLUSIVE ARGAMASSA PARA ASSENTAMENTO</t>
  </si>
  <si>
    <t>1.6.3</t>
  </si>
  <si>
    <t>ALVENARIA DE VEDAÇÃO COM ELEMENTO VAZADO DE CONCRETO (COBOGÓ) DE 7X50X50CM E ARGAMASSA DE ASSENTAMENTO COM PREPARO EM BETONEIRA. AF_05/2020</t>
  </si>
  <si>
    <t>1.6.4</t>
  </si>
  <si>
    <t>VERGA MOLDADA IN LOCO EM CONCRETO PARA JANELAS COM ATÉ 1,5 M DE VÃO. AF_03/2016</t>
  </si>
  <si>
    <t>M</t>
  </si>
  <si>
    <t>1.6.5</t>
  </si>
  <si>
    <t>CONTRAVERGA MOLDADA IN LOCO EM CONCRETO PARA VÃOS DE ATÉ 1,5 M DE COMPRIMENTO. AF_03/2016</t>
  </si>
  <si>
    <t>1.7</t>
  </si>
  <si>
    <t>PISOS  E RODAPÉS</t>
  </si>
  <si>
    <t>1.7.1</t>
  </si>
  <si>
    <t>40.32.23</t>
  </si>
  <si>
    <t>REGULARIZAÇAO E COMPACT.TERRENO C/PLACA VIBRATORIA</t>
  </si>
  <si>
    <t>1.7.2</t>
  </si>
  <si>
    <t>15.02.05</t>
  </si>
  <si>
    <t>E= 6,0 CM, SEM JUNTA FCK&gt;= 20 MPA (MANUAL)</t>
  </si>
  <si>
    <t>1.7.3</t>
  </si>
  <si>
    <t>ED-50567</t>
  </si>
  <si>
    <t>CONTRAPISO DESEMPENADO COM ARGAMASSA, TRAÇO 1:3 (CIMENTO E AREIA), ESP. 25MM</t>
  </si>
  <si>
    <t>1.7.4</t>
  </si>
  <si>
    <t>REVESTIMENTO CERÂMICO PARA PISO COM PLACAS TIPO PORCELANATO DE DIMENSÕES 45X45 CM APLICADA EM AMBIENTES DE ÁREA MAIOR QUE 10 M². AF_06/2014</t>
  </si>
  <si>
    <t>1.7.5</t>
  </si>
  <si>
    <t>COMP021</t>
  </si>
  <si>
    <t>RODAPÉ CERÂMICO DE 7CM DE ALTURA COM PLACAS TIPO PORCELANATO DIMENSÕES 45X45 CM</t>
  </si>
  <si>
    <t>1.7.6</t>
  </si>
  <si>
    <t>ED-50418</t>
  </si>
  <si>
    <t>EXECUÇÃO DE PAVIMENTO INTERTRAVADO, ESPESSURA 8CM, FCK 35MPA, INCLUINDO FORNECIMENTO E TRANSPORTE DE TODOS OS MATERIAIS E COLCHÃO DE ASSENTAMENTO COM ESPESSURA 6CM</t>
  </si>
  <si>
    <t>1.7.7</t>
  </si>
  <si>
    <t>COMP043</t>
  </si>
  <si>
    <t>PISO EM CONCRETO USINADO 30MPA, ACABAMENTO POLIDO, E=15CM, INCLUSIVE COMPACTAÇÃO COM PLACA VIBRATÓRIA, ARMAÇÃO EM TELA Q-283, LASTRO COM MATERIAL GRANULAR E LONA PLÁSTICA.</t>
  </si>
  <si>
    <t>1.7.8</t>
  </si>
  <si>
    <t>EXECUÇÃO DE PASSEIO (CALÇADA) OU PISO DE CONCRETO COM CONCRETO MOLDADO IN LOCO, FEITO EM OBRA, ACABAMENTO CONVENCIONAL, ESPESSURA 6 CM, ARMADO. AF_08/2022</t>
  </si>
  <si>
    <t>1.8</t>
  </si>
  <si>
    <t>REVESTIMENTO DE PAREDES</t>
  </si>
  <si>
    <t>1.8.1</t>
  </si>
  <si>
    <t>ED-50727</t>
  </si>
  <si>
    <t>CHAPISCO COM ARGAMASSA, TRAÇO 1:3 (CIMENTO E AREIA), ESP. 5MM, APLICADO EM ALVENARIA/ESTRUTURA DE CONCRETO COM COLHER, PREPARO MECÂNICO</t>
  </si>
  <si>
    <t>1.8.2</t>
  </si>
  <si>
    <t>40.31.07</t>
  </si>
  <si>
    <t>REBOCO PAULISTA COM ARGAMASSA 1:4</t>
  </si>
  <si>
    <t>1.8.3</t>
  </si>
  <si>
    <t>ED-50732</t>
  </si>
  <si>
    <t>EMBOÇO COM ARGAMASSA, TRAÇO 1:6 (CIMENTO E AREIA), ESP. 20MM, APLICAÇÃO MANUAL, PREPARO MECÂNICO</t>
  </si>
  <si>
    <t>1.8.4</t>
  </si>
  <si>
    <t>COMP022</t>
  </si>
  <si>
    <t>REVESTIMENTO CERÂMICO PARA PAREDES INTERNAS COM PLACAS TIPO PORCELANATO 45X45 CM</t>
  </si>
  <si>
    <t>1.8.5</t>
  </si>
  <si>
    <t>14.35.02</t>
  </si>
  <si>
    <t>CANTONEIRA ALUMINIO P/ ACABAMENTO DE QUINA DS-020</t>
  </si>
  <si>
    <t>1.9</t>
  </si>
  <si>
    <t>REVESTIMENTO DE TETOS</t>
  </si>
  <si>
    <t>1.9.1</t>
  </si>
  <si>
    <t>APLICAÇÃO MANUAL DE GESSO DESEMPENADO (SEM TALISCAS) EM TETO DE AMBIENTES DE ÁREA ENTRE 5M² E 10M², ESPESSURA DE 1,0CM. AF_06/2014</t>
  </si>
  <si>
    <t>1.9.2</t>
  </si>
  <si>
    <t>FORRO EM PLACAS DE GESSO, PARA AMBIENTES COMERCIAIS. AF_05/2017_PS</t>
  </si>
  <si>
    <t>1.10</t>
  </si>
  <si>
    <t>ESQUADRIAS</t>
  </si>
  <si>
    <t>1.10.1</t>
  </si>
  <si>
    <t>PORTAS</t>
  </si>
  <si>
    <t>1.10.1.1</t>
  </si>
  <si>
    <t>COMP018</t>
  </si>
  <si>
    <t>PORTA DE VIDRO TEMPERADO, 300x260CM DE CORRER E=10MM INCLUSIVE BANDEIRA FIXA SUPERIOR EM VIDRO TEMPERADO =6MM E VIDROS FIXOS LAMINADOS NAS LATERAIS</t>
  </si>
  <si>
    <t>1.10.1.2</t>
  </si>
  <si>
    <t>COMP047</t>
  </si>
  <si>
    <t>PORTA SANFONADA PVC 80X210CM, FORNECIMENTO E INSTALAÇÃO</t>
  </si>
  <si>
    <t>1.10.1.3</t>
  </si>
  <si>
    <t>ED-49604</t>
  </si>
  <si>
    <t>PORTA EM MADEIRA DE LEI ESPECIAL COMPLETA 90 X 210 CM, PARA PINTURA, PARA P.N.E., COM PROTEÇÃO INFERIOR EM LAMINADO MELAMÍNICO, INCLUSIVE FERRAGENS E MAÇANETA TIPO ALAVANCA (P2)</t>
  </si>
  <si>
    <t>UN</t>
  </si>
  <si>
    <t>1.10.1.4</t>
  </si>
  <si>
    <t>12.06.02</t>
  </si>
  <si>
    <t>PORTA COMPLETA (PORTA COM DOBRADIÇAS, MARCO, ALIZAR E FECHADURA) 70X210CM, FORNECIMENTO E INSTALAÇÃO REF 90842</t>
  </si>
  <si>
    <t>1.10.1.5</t>
  </si>
  <si>
    <t>ED-49602</t>
  </si>
  <si>
    <t>PORTA DE ABRIR, MADEIRA DE LEI PRANCHETA PARA PINTURA COMPLETA 80 X 210 CM,COM FERRAGENS EM FERRO LATONADO</t>
  </si>
  <si>
    <t>U</t>
  </si>
  <si>
    <t>1.10.1.6</t>
  </si>
  <si>
    <t>COMP020</t>
  </si>
  <si>
    <t>PORTA DE MADEIRA DE CORRER 80X210CM</t>
  </si>
  <si>
    <t>1.10.1.7</t>
  </si>
  <si>
    <t>13.70.37</t>
  </si>
  <si>
    <t>PF7- PORTA DE ABRIR CHAPA DOBRADA 1FL. 1,0 X 2,1 M</t>
  </si>
  <si>
    <t>1.10.1.8</t>
  </si>
  <si>
    <t>COMP027</t>
  </si>
  <si>
    <t xml:space="preserve">REASSENTAMENTO DE PORTA DE MADEIRA COMPLETA (FOLHA, MARCO, FERRAGENS E ALIZARES) </t>
  </si>
  <si>
    <t>1.10.2</t>
  </si>
  <si>
    <t>JANELAS</t>
  </si>
  <si>
    <t>1.10.2.1</t>
  </si>
  <si>
    <t>JANELA DE ALUMÍNIO TIPO MAXIM-AR, COM VIDROS, BATENTE E FERRAGENS. EXCLUSIVE ALIZAR, ACABAMENTO E CONTRAMARCO. FORNECIMENTO E INSTALAÇÃO. AF_12/2019</t>
  </si>
  <si>
    <t>1.10.2.2</t>
  </si>
  <si>
    <t>INSTALAÇÃO DE VIDRO LISO INCOLOR, E = 4 MM, EM ESQUADRIA DE ALUMÍNIO OU PVC, FIXADO COM BAGUETE. AF_01/2021_PS</t>
  </si>
  <si>
    <t>1.10.2.3</t>
  </si>
  <si>
    <t>ED-50932</t>
  </si>
  <si>
    <t>ASSENTAMENTO DE JANELAS METÁLICAS DE CORRER E MAXIM-AR</t>
  </si>
  <si>
    <t>1.10.3</t>
  </si>
  <si>
    <t>PORTÕES E GRADIS</t>
  </si>
  <si>
    <t>1.10.3.1</t>
  </si>
  <si>
    <t>COMP023</t>
  </si>
  <si>
    <t xml:space="preserve">PORTÃO 160X120CM EM TELA DE ARAME ONDULADO </t>
  </si>
  <si>
    <t>1.10.3.2</t>
  </si>
  <si>
    <t>COMP019</t>
  </si>
  <si>
    <t>GRADIL NYLOFOR H=2,03 M , INCLUSIVE 02 PORTÕES DE CORRER 3,50X2,55M E MURETA EM ALVENARIA.</t>
  </si>
  <si>
    <t>1.11</t>
  </si>
  <si>
    <t>DIVISÓRIAS</t>
  </si>
  <si>
    <t>1.11.1</t>
  </si>
  <si>
    <t>07.34.50</t>
  </si>
  <si>
    <t>DIVISORIA NAVAL PAINEL/PAINEL</t>
  </si>
  <si>
    <t>1.11.2</t>
  </si>
  <si>
    <t>DOBRADIÇA TIPO VAI E VEM EM LATÃO POLIDO 3". AF_12/2019</t>
  </si>
  <si>
    <t>1.11.3</t>
  </si>
  <si>
    <t>07.34.51</t>
  </si>
  <si>
    <t>CONJ. DE FERRAGENS P/ CONFECÇÃO DE PORTA DE DIVISÓRIA, INCLUINDO FECHADURA E DOBRADIÇAS</t>
  </si>
  <si>
    <t>1.11.4</t>
  </si>
  <si>
    <t>INSTALAÇÃO DE VIDRO TEMPERADO, E = 8 MM, ENCAIXADO EM PERFIL U. AF_01/2021_PS</t>
  </si>
  <si>
    <t>1.11.5</t>
  </si>
  <si>
    <t>COMP046</t>
  </si>
  <si>
    <t>DIVISÓRIA EM ACRÍLICO TRANSPARENTE E=3MM</t>
  </si>
  <si>
    <t>1.11.6</t>
  </si>
  <si>
    <t>07.32.10</t>
  </si>
  <si>
    <t>DIV.GRANITO CINZA CORUMBA E=3CM FERRAGEM LATAO C</t>
  </si>
  <si>
    <t>1.11.7</t>
  </si>
  <si>
    <t>ED-49599</t>
  </si>
  <si>
    <t>PORTA DE MADEIRA PARA PINTURA, 60x165CM, FERRAGENS EM LATÃO P/DIVISÓRIAS DE PEDRA E TARJETA LIVRE-OCUPADO</t>
  </si>
  <si>
    <t>1.12</t>
  </si>
  <si>
    <t>PINTURA</t>
  </si>
  <si>
    <t>1.12.1</t>
  </si>
  <si>
    <t>PAREDES E TETO</t>
  </si>
  <si>
    <t>1.12.1.1</t>
  </si>
  <si>
    <t>APLICAÇÃO DE FUNDO SELADOR ACRÍLICO EM PAREDES, UMA DEMÃO. AF_06/2014</t>
  </si>
  <si>
    <t>1.12.1.2</t>
  </si>
  <si>
    <t>ED-50474</t>
  </si>
  <si>
    <t>EMASSAMENTO EM PAREDE COM MASSA ACRÍLICA, DUAS (2) DEMÃOS, INCLUSIVE LIXAMENTO PARA PINTURA</t>
  </si>
  <si>
    <t>1.12.1.3</t>
  </si>
  <si>
    <t>ED-9917</t>
  </si>
  <si>
    <t>PINTURA EPÓXI EM PAREDE, DUAS (2) DEMÃOS, EXCLUSIVE SELADOR ACRÍLICO E MASSA ACRÍLICA/CORRIDA (PVA)</t>
  </si>
  <si>
    <t>1.12.1.4</t>
  </si>
  <si>
    <t>ED-50451</t>
  </si>
  <si>
    <t>PINTURA ACRÍLICA EM PAREDE, DUAS (2) DEMÃOS, EXCLUSIVE SELADOR ACRÍLICO E MASSA ACRÍLICA/CORRIDA (PVA)</t>
  </si>
  <si>
    <t>1.12.1.5</t>
  </si>
  <si>
    <t>APLICAÇÃO MANUAL DE PINTURA COM TINTA LÁTEX ACRÍLICA EM TETO, DUAS DEMÃOS. AF_06/2014</t>
  </si>
  <si>
    <t>1.12.1.6</t>
  </si>
  <si>
    <t>COMP016</t>
  </si>
  <si>
    <t>PINTURA COM TINTA A ÓLEO SOBRE ALVENARIA</t>
  </si>
  <si>
    <t>1.12.2</t>
  </si>
  <si>
    <t>ESQUADRIAS DE MADEIRA</t>
  </si>
  <si>
    <t>1.12.2.1</t>
  </si>
  <si>
    <t>LIXAMENTO DE MADEIRA PARA APLICAÇÃO DE FUNDO OU PINTURA. AF_01/2021</t>
  </si>
  <si>
    <t>1.12.2.2</t>
  </si>
  <si>
    <t>PINTURA FUNDO NIVELADOR ALQUÍDICO BRANCO EM MADEIRA. AF_01/2021</t>
  </si>
  <si>
    <t>1.12.2.3</t>
  </si>
  <si>
    <t>APLICAÇÃO MASSA ACRÍLICA PARA MADEIRA, PARA PINTURA COM TINTA DE ACABAMENTO (PIGMENTADA). AF_01/2021</t>
  </si>
  <si>
    <t>1.12.2.4</t>
  </si>
  <si>
    <t>PINTURA TINTA DE ACABAMENTO (PIGMENTADA) ESMALTE SINTÉTICO BRILHANTE EM MADEIRA, 3 DEMÃOS. AF_01/2021</t>
  </si>
  <si>
    <t>1.12.3</t>
  </si>
  <si>
    <t>ESQUADRIAS METÁLICAS</t>
  </si>
  <si>
    <t>1.1123.1</t>
  </si>
  <si>
    <t>PINTURA COM TINTA ALQUÍDICA DE ACABAMENTO (ESMALTE SINTÉTICO ACETINADO) PULVERIZADA SOBRE SUPERFÍCIES METÁLICAS (EXCETO PERFIL) EXECUTADO EM OBRA (02 DEMÃOS). AF_01/2020_PE</t>
  </si>
  <si>
    <t>1.12.4</t>
  </si>
  <si>
    <t>RESERVATÓRIO DE ÁGUA</t>
  </si>
  <si>
    <t>1.12.4.1</t>
  </si>
  <si>
    <t>01.29.01</t>
  </si>
  <si>
    <t>ANDAIME FACHADEIRO INCLUSIVE FORRO METALICO</t>
  </si>
  <si>
    <t>M2MES</t>
  </si>
  <si>
    <t>1.12.4.2</t>
  </si>
  <si>
    <t>LIXAMENTO MANUAL EM SUPERFÍCIES METÁLICAS EM OBRA. AF_01/2020</t>
  </si>
  <si>
    <t>1.12.4.3</t>
  </si>
  <si>
    <t>PINTURA COM TINTA ALQUÍDICA DE ACABAMENTO (ESMALTE SINTÉTICO ACETINADO) APLICADA A ROLO OU PINCEL SOBRE SUPERFÍCIES METÁLICAS (EXCETO PERFIL) EXECUTADO EM OBRA (02 DEMÃOS). AF_01/2020</t>
  </si>
  <si>
    <t>1.13</t>
  </si>
  <si>
    <t>INSTALAÇÕES HIDROSSANITÁRIAS E PLUVIAIS</t>
  </si>
  <si>
    <t>1.13.1</t>
  </si>
  <si>
    <t>ESGOTO</t>
  </si>
  <si>
    <t>1.13.1.1</t>
  </si>
  <si>
    <t>ED-50223</t>
  </si>
  <si>
    <t>PONTO DE EMBUTIR PARA ESGOTO EM TUBO PVC RÍGIDO, PB - SÉRIE NORMAL, DN 40MM (1.1/2"), EMBUTIDO NA ALVENARIA/PISO, COM ALTURA (SAÍDA) DE 50CM DO PISO, COM DISTÂNCIA DE ATÉ CINCO (5) METROS DA RAMAL DE ESGOTO, EXCLUSIVE ESCAVAÇÃO, INCLUSIVE CONEXÕES E FIXAÇÃO DO TUBO COM ENCHIMENTO DO RASGO NA ALVENARIA/CONCRETO COM ARGAMASSA</t>
  </si>
  <si>
    <t>1.13.1.2</t>
  </si>
  <si>
    <t>ED-50225</t>
  </si>
  <si>
    <t>PONTO DE EMBUTIR PARA ESGOTO EM TUBO PVC RÍGIDO, PBV - SÉRIE NORMAL, DN 100MM (4"), EMBUTIDO EM PISO COM DISTÂNCIA DE ATÉ CINCO (5) METROS DA RAMAL DE ESGOTO, INCLUSIVE CONEXÕES E FIXAÇÃO DO TUBO COM ENCHIMENTO DO RASGO NO CONCRETO COM ARGAMASSA</t>
  </si>
  <si>
    <t>1.13.1.3</t>
  </si>
  <si>
    <t>TUBO PVC, SERIE NORMAL, ESGOTO PREDIAL, DN 75 MM, FORNECIDO E INSTALADO EM RAMAL DE DESCARGA OU RAMAL DE ESGOTO SANITÁRIO. AF_08/2022</t>
  </si>
  <si>
    <t>1.13.1.4</t>
  </si>
  <si>
    <t>ED-50224</t>
  </si>
  <si>
    <t>PONTO DE EMBUTIR PARA ESGOTO EM TUBO PVC RÍGIDO, PBV - SÉRIE NORMAL, DN 50MM (2"), EMBUTIDO EM PISO COM DISTÂNCIA DE ATÉ CINCO (5) METROS DA RAMAL DE ESGOTO, EXCLUSIVE ESCAVAÇÃO, INCLUSIVE CONEXÕES E FIXAÇÃO DO TUBO COM ENCHIMENTO DO RASGO NO CONCRETO COM ARGAMASSA</t>
  </si>
  <si>
    <t>1.13.1.5</t>
  </si>
  <si>
    <t>TUBO PVC, SERIE NORMAL, ESGOTO PREDIAL, DN 100 MM, FORNECIDO E INSTALADO EM RAMAL DE DESCARGA OU RAMAL DE ESGOTO SANITÁRIO. AF_08/2022</t>
  </si>
  <si>
    <t>1.13.1.6</t>
  </si>
  <si>
    <t>ESCAVAÇÃO MANUAL DE VALA COM PROFUNDIDADE MENOR OU IGUAL A 1,30 M. AF_02/2021</t>
  </si>
  <si>
    <t>1.13.1.7</t>
  </si>
  <si>
    <t>1.13.1.8</t>
  </si>
  <si>
    <t>ED-49879</t>
  </si>
  <si>
    <t>CAIXA DE ESGOTO DE INSPEÇÃO/PASSAGEM EM ALVENARIA (50X50X60CM), REVESTIMENTO EM ARGAMASSA COM ADITIVO IMPERMEABILIZANTE, COM TAMPA DE CONCRETO, INCLUSIVE ESCAVAÇÃO, REATERRO E TRANSPORTE E RETIRADA DO MATERIAL ESCAVADO (EM CAÇAMBA)</t>
  </si>
  <si>
    <t>1.13.1.9</t>
  </si>
  <si>
    <t>ED-50007</t>
  </si>
  <si>
    <t>CAIXA SIFONADA EM PVC COM GRELHA QUADRADA150 X 150 X 50 MM</t>
  </si>
  <si>
    <t>1.13.1.10</t>
  </si>
  <si>
    <t>TUBO PVC, SERIE NORMAL, ESGOTO PREDIAL, DN 50 MM, FORNECIDO E INSTALADO EM PRUMADA DE ESGOTO SANITÁRIO OU VENTILAÇÃO. AF_08/2022</t>
  </si>
  <si>
    <t>1.13.2</t>
  </si>
  <si>
    <t>ÁGUA FRIA</t>
  </si>
  <si>
    <t>1.13.2.1</t>
  </si>
  <si>
    <t>ED-50221</t>
  </si>
  <si>
    <t>PONTO DE EMBUTIR PARA ÁGUA FRIA EM TUBO DE PVC RÍGIDO SOLDÁVEL, DN 20MM (1/2"), EMBUTIDO NA ALVENARIA COM DISTÂNCIA DE ATÉ CINCO (5) METROS DA TOMADA DE ÁGUA, INCLUSIVE CONEXÕES E FIXAÇÃO DO TUBO COM ENCHIMENTO DO RASGO NA ALVENARIA/CONCRETO COM ARGAMASSA</t>
  </si>
  <si>
    <t>1.13.2.2</t>
  </si>
  <si>
    <t>ED-49995</t>
  </si>
  <si>
    <t>REGISTRO DE GAVETA, TIPO BASE, ROSCÁVEL 1.1/2" (PARA TUBO SOLDÁVEL OU PPR DN 50MM/CPVC DN 42MM), INCLUSIVE ACABAMENTO (PADRÃO MÉDIO) E CANOPLA CROMADOS</t>
  </si>
  <si>
    <t>1.13.2.3</t>
  </si>
  <si>
    <t>ED-49989</t>
  </si>
  <si>
    <t>REGISTRO DE GAVETA, TIPO BASE, ROSCÁVEL 3/4" (PARA TUBO SOLDÁVEL OU PPR DN 25MM/CPVC DN 22MM), INCLUSIVE ACABAMENTO (PADRÃO MÉDIO) E CANOPLA CROMADO</t>
  </si>
  <si>
    <t>1.13.2.4</t>
  </si>
  <si>
    <t>ED-49963</t>
  </si>
  <si>
    <t>REGISTRO DE PRESSÃO, TIPO BASE, ROSCÁVEL 1/2" (PARA TUBO SOLDÁVEL OU PPR DN 20MM/CPVC DN 15MM), INCLUSIVE ACABAMENTO (PADRÃO MÉDIO) E CANOPLA CROMADOS</t>
  </si>
  <si>
    <t>1.13.2.5</t>
  </si>
  <si>
    <t>ED-50022</t>
  </si>
  <si>
    <t>FORNECIMENTO E ASSENTAMENTO DE TUBO PVC RÍGIDO SOLDÁVEL, ÁGUA FRIA, DN 50 MM (1.1/2"), INCLUSIVE CONEXÕES</t>
  </si>
  <si>
    <t>1.13.2.6</t>
  </si>
  <si>
    <t>01.08.21</t>
  </si>
  <si>
    <t>TUBO PVC AGUA SOLDA E CONEXOES D=25MM (3/4")</t>
  </si>
  <si>
    <t>1.13.2.7</t>
  </si>
  <si>
    <t>VÁLVULA DE DESCARGA METÁLICA, BASE 1 1/2", ACABAMENTO METALICO CROMADO - FORNECIMENTO E INSTALAÇÃO. AF_08/2021</t>
  </si>
  <si>
    <t>1.13.2.8</t>
  </si>
  <si>
    <t>COMP025</t>
  </si>
  <si>
    <t>INSTALAÇÕES PARA CADEIRA ODONTOLÓGICA CONTENDO: TUBO DE COBRE FLEXÍVEL D= 1/4", TUBOS DE ALIMENTAÇÃO DE ÁGUA FRIA, SUCÇÃO E ESGOTO, TUBOS E CABOS PARA ALIMENTAÇÃO DE ENERGIA E ACIONAMENTO DA BOMBA</t>
  </si>
  <si>
    <t>1.13.3</t>
  </si>
  <si>
    <t>PLUVIAIS</t>
  </si>
  <si>
    <t>1.13.3.1</t>
  </si>
  <si>
    <t>TUBO PVC, SÉRIE R, ÁGUA PLUVIAL, DN 100 MM, FORNECIDO E INSTALADO EM CONDUTORES VERTICAIS DE ÁGUAS PLUVIAIS. AF_06/2022</t>
  </si>
  <si>
    <t>1.13.3.2</t>
  </si>
  <si>
    <t>TUBO PVC, SÉRIE R, ÁGUA PLUVIAL, DN 150 MM, FORNECIDO E INSTALADO EM RAMAL DE ENCAMINHAMENTO. AF_06/2022</t>
  </si>
  <si>
    <t>1.13.3.3</t>
  </si>
  <si>
    <t>ED-49932</t>
  </si>
  <si>
    <t>CAIXA DE DRENAGEM DE INSPEÇÃO/PASSAGEM EM ALVENARIA (100X100X80CM), REVESTIMENTO EM ARGAMASSA COM ADITIVO IMPERMEABILIZANTE, COM TAMPA EM GRELHA, INCLUSIVE ESCAVAÇÃO, REATERRO E TRANSPORTE E RETIRADA DO MATERIAL ESCAVADO (EM CAÇAMBA)</t>
  </si>
  <si>
    <t>1.13.3.4</t>
  </si>
  <si>
    <t>1.13.3.5</t>
  </si>
  <si>
    <t>1.13.3.6</t>
  </si>
  <si>
    <t>1.13.3.7</t>
  </si>
  <si>
    <t>ED-50709</t>
  </si>
  <si>
    <t>RASGO EM ALVENARIA PARA PASSAGEM DE ELETRODUTO/TUBULAÇÃO, DIÂMETROS DE 65MM A 100MM (2.1/2" A 4"), EXCLUSIVE ENCHIMENTO</t>
  </si>
  <si>
    <t>1.13.3.8</t>
  </si>
  <si>
    <t>ED-50706</t>
  </si>
  <si>
    <t>ENCHIMENTO DE RASGO EM ALVENARIA/CONCRETO COM ARGAMASSA, DIÂMETROS DE 65MM A 100MM (2.1/2" A 4"), INCLUSIVE ARGAMASSA, TRAÇO 1:2:8 (CIMENTO, CAL E AREIA), PREPARO MECÂNICO</t>
  </si>
  <si>
    <t>1.14</t>
  </si>
  <si>
    <t>INSTALAÇÕES ELÉTRICAS</t>
  </si>
  <si>
    <t>1.14.1</t>
  </si>
  <si>
    <t>ED-50228</t>
  </si>
  <si>
    <t>PONTO DE EMBUTIR PARA UMA (1) LUMINÁRIA,COM ELETRODUTO DE PVC RÍGIDO ROSCÁVEL, DN 20MM (3/4"), EMBUTIDO NA LAJE E CABO DE COBRE FLEXÍVEL, CLASSE 5, ISOLAMENTO TIPO LSHF/ATOX, NÃO HALOGENADO, SEÇÃO 1,5MM2 (70°C-450/750V), COM DISTÂNCIA DE ATÉ CINCO (5) METROS DO PONTO DE DERIVAÇÃO, EXCLUSIVE LUMINÁRIA, INCLUSIVE CAIXA DE LIGAÇÃO OCTOGONAL, SUPORTE E FIXAÇÃO DO ELETRODUTO</t>
  </si>
  <si>
    <t>1.14.2</t>
  </si>
  <si>
    <t>ED-50232</t>
  </si>
  <si>
    <t>PONTO DE EMBUTIR PARA UMA (1) TOMADA PADRÃO, TRÊS (3) POLOS (2P+T/10A-250V), COM PLACA 4"X2" DE UM (1) POSTO, COM ELETRODUTO FLEXÍVEL CORRUGADO, ANTI-CHAMA, DN 25MM (3/4"), EMBUTIDO NA ALVENARIA E CABO DE COBRE FLEXÍVEL, CLASSE 5, ISOLAMENTO TIPO LSHF/ATOX, NÃO HALOGENADO, SEÇÃO 2,5MM2 (70°C-450/750V), COM DISTÂNCIA DE ATÉ DEZ (10) METROS DO PONTO DE DERIVAÇÃO, INCLUSIVE CAIXA DE LIGAÇÃO, SUPORTE E FIXAÇÃO DO ELETRODUTO COM ENCHIMENTO DO RASGO NA ALVENARIA/CONCRETO COM ARGAMASSA</t>
  </si>
  <si>
    <t>1.14.3</t>
  </si>
  <si>
    <t>INTERRUPTOR SIMPLES (1 MÓDULO), 10A/250V, INCLUINDO SUPORTE E PLACA - FORNECIMENTO E INSTALAÇÃO. AF_12/2015</t>
  </si>
  <si>
    <t>1.14.4</t>
  </si>
  <si>
    <t>INTERRUPTOR SIMPLES (2 MÓDULOS), 10A/250V, INCLUINDO SUPORTE E PLACA - FORNECIMENTO E INSTALAÇÃO. AF_12/2015</t>
  </si>
  <si>
    <t>1.14.5</t>
  </si>
  <si>
    <t>ED-15749</t>
  </si>
  <si>
    <t>CONJUNTO DE UMA (1) TOMADA PADRÃO, TRÊS (3) POLOS, CORRENTE 20A, TENSÃO 250V, (2P+T/20A-250V), COM PLACA 4"X2" DE UM (1) POSTO, INCLUSIVE FORNECIMENTO, INSTALAÇÃO, SUPORTE, MÓDULO E PLACA</t>
  </si>
  <si>
    <t xml:space="preserve">UN    </t>
  </si>
  <si>
    <t>1.14.6</t>
  </si>
  <si>
    <t>ED-13338</t>
  </si>
  <si>
    <t>LUMINÁRIA COMERCIAL CHANFRADA DE SOBREPOR COMPLETA, PARA DUAS (2) LÂMPADAS TUBULARES LED 2X18W-ØT8, TEMPERATURA DA COR 6500K, FORNECIMENTO E INSTALAÇÃO, INCLUSIVE BASE E LÂMPADAS</t>
  </si>
  <si>
    <t>1.14.7</t>
  </si>
  <si>
    <t>CAIXA ENTERRADA ELÉTRICA RETANGULAR, EM ALVENARIA COM BLOCOS DE CONCRETO, FUNDO COM BRITA, DIMENSÕES INTERNAS: 0,6X0,6X0,6 M. AF_12/2020</t>
  </si>
  <si>
    <t>1.14.8</t>
  </si>
  <si>
    <t>ED-49150</t>
  </si>
  <si>
    <t>CAIXA DE PASSAGEM ELETRICA DE PAREDE, DE SOBREPOR, EM PVC, COM TAMPA APARAFUSADA, DIMENSOES 300 X 300 X *100* MM</t>
  </si>
  <si>
    <t>1.14.9</t>
  </si>
  <si>
    <t>ED-50712</t>
  </si>
  <si>
    <t>RASGO EM CONCRETO PARA PASSAGEM DE ELETRODUTO/TUBULAÇÃO, DIÂMETROS DE 65MM A 100MM (2.1/2" A 4"), EXCLUSIVE ENCHIMENTO</t>
  </si>
  <si>
    <t>1.14.10</t>
  </si>
  <si>
    <t>1.15</t>
  </si>
  <si>
    <t>COBERTURA</t>
  </si>
  <si>
    <t>1.15.1</t>
  </si>
  <si>
    <t>ED-48428</t>
  </si>
  <si>
    <t>COBERTURA EM TELHA METÁLICA GALVANIZADA TRAPEZOIDAL, TIPO SIMPLES, ESP. 0,50MM, ACABAMENTO NATURAL, INCLUSIVE ACESSÓRIOS PARA FIXAÇÃO, FORNECIMENTO E INSTALAÇÃO</t>
  </si>
  <si>
    <t>1.15.2</t>
  </si>
  <si>
    <t>COMP038</t>
  </si>
  <si>
    <t>REINSTALAÇÃO DE TELHA METÁLICA TRAPEZOIDAL, INCLUSIVE IÇAMENTO.</t>
  </si>
  <si>
    <t>1.15.3</t>
  </si>
  <si>
    <t>COMP026</t>
  </si>
  <si>
    <t>FORNECIMENTO E INSTALAÇÃO DE TELHA TRAPEZOIDAL EM POLICARBONATO TRANSPARENTE, INCLUSIVE ACESSÓRIOS PARA FIXAÇÃO E IÇAMENTO.</t>
  </si>
  <si>
    <t>1.15.4</t>
  </si>
  <si>
    <t>TRAMA DE AÇO COMPOSTA POR TERÇAS PARA TELHADOS DE ATÉ 2 ÁGUAS PARA TELHA ONDULADA DE FIBROCIMENTO, METÁLICA, PLÁSTICA OU TERMOACÚSTICA, INCLUSO TRANSPORTE VERTICAL. AF_07/2019</t>
  </si>
  <si>
    <t>1.15.5</t>
  </si>
  <si>
    <t>COMP015</t>
  </si>
  <si>
    <t>COBERTURA POLICARBONATO ALVEOLAR, INCLUSIVE ESTRUTURA METÁLICA FIXADA EM PAREDES E MURO</t>
  </si>
  <si>
    <t>1.15.6</t>
  </si>
  <si>
    <t>RUFO EXTERNO/INTERNO EM CHAPA DE AÇO GALVANIZADO NÚMERO 26, CORTE DE 33 CM, INCLUSO IÇAMENTO. AF_07/2019</t>
  </si>
  <si>
    <t>1.15.7</t>
  </si>
  <si>
    <t>ED-50667</t>
  </si>
  <si>
    <t>CHAPIM EM CHAPA GALVANIZADA, COM PINGADEIRA, ESP. 0,65MM (GSG-24), COM DESENVOLVIMENTO DE 35CM, INCLUSIVE IÇAMENTO MANUAL VERTICAL</t>
  </si>
  <si>
    <t>1.15.8</t>
  </si>
  <si>
    <t>CALHA EM CHAPA DE AÇO GALVANIZADO NÚMERO 24, DESENVOLVIMENTO DE 100 CM, INCLUSO TRANSPORTE VERTICAL. AF_07/2019</t>
  </si>
  <si>
    <t>1.15.9</t>
  </si>
  <si>
    <t>ED-50659</t>
  </si>
  <si>
    <t>CALHA EM CHAPA GALVANIZADA, ESP. 0,65MM (GSG-24), COM DESENVOLVIMENTO DE 75CM, INCLUSIVE IÇAMENTO MANUAL VERTICAL</t>
  </si>
  <si>
    <t>1.15.10</t>
  </si>
  <si>
    <t>FITA ADESIVA ASFALTICA ALUMINIZADA MULTIUSO, L = 10 CM, ROLO DE 10 M</t>
  </si>
  <si>
    <t>1.16</t>
  </si>
  <si>
    <t>SOLEIRAS, PEITORIS E BANCADAS</t>
  </si>
  <si>
    <t>1.16.1</t>
  </si>
  <si>
    <t>SOLEIRA EM GRANITO, LARGURA 15 CM, ESPESSURA 2,0 CM. AF_09/2020</t>
  </si>
  <si>
    <t>1.16.2</t>
  </si>
  <si>
    <t>PEITORIL LINEAR EM GRANITO OU MÁRMORE, L = 15CM, COMPRIMENTO DE ATÉ 2M, ASSENTADO COM ARGAMASSA 1:6 COM ADITIVO. AF_11/2020</t>
  </si>
  <si>
    <t>1.16.3</t>
  </si>
  <si>
    <t>REASSENTAMENTO DE BANCADA DE GRANITO</t>
  </si>
  <si>
    <t>1.16.4</t>
  </si>
  <si>
    <t>ED-48343</t>
  </si>
  <si>
    <t>BANCADA EM GRANITO CINZA ANDORINHA E = 3 CM, APOIADA EM CONSOLE DE METALON 20 X 30 MM</t>
  </si>
  <si>
    <t>1.16.5</t>
  </si>
  <si>
    <t>COMP028</t>
  </si>
  <si>
    <t>BANCADA EM GRANITO BRANCO DALLAS 470X60CM, E=3CM, APOIADA EM CONSOLE METALON 20X30MM, INCLUSIVE UMA CUBA DE DESCARGA INOX 304, DUAS CUBAS RETANGULARES INOX 304, RODABANCA E TESTEIRA</t>
  </si>
  <si>
    <t>1.16.6</t>
  </si>
  <si>
    <t>COMP039</t>
  </si>
  <si>
    <t>BANCADA EM GRANITO BRANCO DALLAS E=3CM, 65X300CM, APOIADA EM METALON 20X30MM, INCLUSIVE RODABANCA E TESTEIRA</t>
  </si>
  <si>
    <t>1.16.7</t>
  </si>
  <si>
    <t>COMP045</t>
  </si>
  <si>
    <t>BANCADA EM GRANITO BRANCO DALLAS 265X60CM E=3,0CM APOIADA EM METALON 20X30MM, INCLUSIVE CUBA LOUÇA BRANCA OVAL, VÁLVULA E SIFÃO TIPO GARRAFA EM METAL CROMADO</t>
  </si>
  <si>
    <t>1.17</t>
  </si>
  <si>
    <t>LOUÇAS, METAIS E ACESSÓRIOS</t>
  </si>
  <si>
    <t>1.17.1</t>
  </si>
  <si>
    <t>VASO SANITARIO SIFONADO CONVENCIONAL PARA PCD SEM FURO FRONTAL COM  LOUÇA BRANCA SEM ASSENTO -  FORNECIMENTO E INSTALAÇÃO. AF_01/2020</t>
  </si>
  <si>
    <t>1.17.2</t>
  </si>
  <si>
    <t>ED-48157</t>
  </si>
  <si>
    <t>ASSENTO PARA VASO PNE (NBR 9050)</t>
  </si>
  <si>
    <t>1.17.3</t>
  </si>
  <si>
    <t>VASO SANITARIO SIFONADO CONVENCIONAL COM LOUÇA BRANCA, INCLUSO CONJUNTO DE LIGAÇÃO PARA BACIA SANITÁRIA AJUSTÁVEL - FORNECIMENTO E INSTALAÇÃO. AF_10/2016</t>
  </si>
  <si>
    <t>1.17.4</t>
  </si>
  <si>
    <t>ED-48156</t>
  </si>
  <si>
    <t>ASSENTO BRANCO PARA VASO</t>
  </si>
  <si>
    <t>1.17.5</t>
  </si>
  <si>
    <t>ED-50337</t>
  </si>
  <si>
    <t>VÁLVULA DE DESCARGA COM REGISTRO INTERNO, ACIONAMENTO SIMPLES, DN 1.1/2" (50MM), INCLUSIVE ACABAMENTO DA VÁLVULA</t>
  </si>
  <si>
    <t>1.17.6</t>
  </si>
  <si>
    <t>ED-2552</t>
  </si>
  <si>
    <t>LAVATÓRIO DE CANTO DE LOUÇA BRANCA SEM COLUNA, TAMANHO PEQUENO, INCLUSIVE ACESSÓRIOS DE FIXAÇÃO COM PARAFUSO CASTELO, VÁLVULA DE ESCOAMENTO DE METAL COM ACABAMENTO CROMADO, SIFÃO DE METAL TIPO COPO COM ACABAMENTO CROMADO, FORNECIMENTO, INSTALAÇÃO E REJUNTAMENTO, EXCLUSIVE TORNEIRA E ENGATE FLEXÍVEL</t>
  </si>
  <si>
    <t>1.17.7</t>
  </si>
  <si>
    <t>LAVATÓRIO LOUÇA BRANCA COM COLUNA, 45 X 55CM OU EQUIVALENTE, PADRÃO MÉDIO, INCLUSO SIFÃO TIPO GARRAFA, VÁLVULA E ENGATE FLEXÍVEL DE 40CM EM METAL CROMADO, COM APARELHO MISTURADOR PADRÃO MÉDIO - FORNECIMENTO E INSTALAÇÃO. AF_01/2020</t>
  </si>
  <si>
    <t>1.17.8</t>
  </si>
  <si>
    <t>CUBA DE EMBUTIR OVAL EM LOUÇA BRANCA, 35 X 50CM OU EQUIVALENTE - FORNECIMENTO E INSTALAÇÃO. AF_01/2020</t>
  </si>
  <si>
    <t>1.17.9</t>
  </si>
  <si>
    <t>TORNEIRA CROMADA TUBO MÓVEL, DE PAREDE, 1/2 OU 3/4, PARA PIA DE COZINHA, PADRÃO MÉDIO - FORNECIMENTO E INSTALAÇÃO. AF_01/2020</t>
  </si>
  <si>
    <t>1.17.10</t>
  </si>
  <si>
    <t>10.24.20</t>
  </si>
  <si>
    <t>TORNEIRA DE PRESSAO PRESMATIC BENEFIT OU EQUIVALENTE</t>
  </si>
  <si>
    <t>1.17.11</t>
  </si>
  <si>
    <t>ENGATE FLEXÍVEL EM PLÁSTICO BRANCO, 1/2 X 40CM - FORNECIMENTO E INSTALAÇÃO. AF_01/2020</t>
  </si>
  <si>
    <t>1.17.12</t>
  </si>
  <si>
    <t>COMP048</t>
  </si>
  <si>
    <t>TORNEIRA ELÉTRICA COM ACIONAMENTO POR PEDAL, FORNECIMENTO E INSTALAÇÃO</t>
  </si>
  <si>
    <t>1.17.13</t>
  </si>
  <si>
    <t>ED-50316</t>
  </si>
  <si>
    <t>DUCHA HIGIÊNICA COM REGISTRO PARA CONTROLE DE FLUXO DE ÁGUA, DIÂMETRO 1/2" (20MM), INCLUSIVE FORNECIMENTO E INSTALAÇÃO</t>
  </si>
  <si>
    <t>1.17.14</t>
  </si>
  <si>
    <t>CHUVEIRO ELÉTRICO COMUM CORPO PLÁSTICO, TIPO DUCHA  FORNECIMENTO E INSTALAÇÃO. AF_01/2020</t>
  </si>
  <si>
    <t>1.17.15</t>
  </si>
  <si>
    <t>ED-48161</t>
  </si>
  <si>
    <t>BARRA DE APOIO EM AÇO INOX POLIDO RETA, DN 1.1/4" (31,75MM), PARA ACESSIBILIDADE (PMR/PCR), COMPRIMENTO 100CM, INSTALADO EM PAREDE, INCLUSIVE FORNECIMENTO, INSTALAÇÃO E ACESSÓRIOS PARA FIXAÇÃO</t>
  </si>
  <si>
    <t>1.17.16</t>
  </si>
  <si>
    <t>16.20.01</t>
  </si>
  <si>
    <t>ESPELHO NACIONAL E= 4MM, COLOCADO COM PARAFUSO FINESON</t>
  </si>
  <si>
    <t>1.17.17</t>
  </si>
  <si>
    <t>ED-48189</t>
  </si>
  <si>
    <t>SABONETEIRA PLASTICA TIPO DISPENSER PARA SABONETE LIQUIDO COM RESERVATORIO 1500 ML</t>
  </si>
  <si>
    <t>1.17.18</t>
  </si>
  <si>
    <t>ED-48155</t>
  </si>
  <si>
    <t>DISPENSER PARA GEL/ÁLCOOL COM RESERVATORIO 800 ML</t>
  </si>
  <si>
    <t>1.17.19</t>
  </si>
  <si>
    <t>ED-48182</t>
  </si>
  <si>
    <t>DISPENSER EM PLÁSTICO PARA PAPEL TOALHA 2 OU 3 FOLHAS</t>
  </si>
  <si>
    <t>1.17.20</t>
  </si>
  <si>
    <t>PAPELEIRA DE PAREDE EM METAL CROMADO SEM TAMPA, INCLUSO FIXAÇÃO. AF_01/2020</t>
  </si>
  <si>
    <t>1.18</t>
  </si>
  <si>
    <t>MARCENARIA</t>
  </si>
  <si>
    <t>1.18.1</t>
  </si>
  <si>
    <t>COMP030</t>
  </si>
  <si>
    <t>ARMÁRIO  EM MDF E=15MM REVESTIDO EM LAMINADO MELAMÍNICO BRANCO, SUSPENSO, C/ DUAS PORTAS, 85X60X30 (LARGURA X ALTURA X PROFUNDIDADE), CONFORME PROJETO.</t>
  </si>
  <si>
    <t>UNID</t>
  </si>
  <si>
    <t>1.18.2</t>
  </si>
  <si>
    <t>COMP029</t>
  </si>
  <si>
    <t>GAVETEIRO EM MDF E=15MM REVESTIDO EM LAMINADO MELAMÍNICO BRANCO, SOB BANCADA, C/8 GAVETAS, 76X85X55CM (COMPRIMENTO X ALTURA X PROFUNDIDADE), CONFORME PROJETO</t>
  </si>
  <si>
    <t>1.18.3</t>
  </si>
  <si>
    <t>COMP031</t>
  </si>
  <si>
    <t>ARMÁRIO EM MDF E=15MM REVESTIDO EM LAMINADO MELAMÍNICO BRANCO, SOB BANCADA, C/ DUAS PORTAS, 90X85X55 (COMPRIMENTO X ALTURA X PROFUNDIDADE).</t>
  </si>
  <si>
    <t>1.18.4</t>
  </si>
  <si>
    <t>COMP032</t>
  </si>
  <si>
    <t>ARMÁRIO EM MDF E=15MM REVESTIDO EM LAMINADO MELAMÍNICO BRANCO 284X290X47CM(LARGURAXALTURAXPROFUNDIDADE) C/ 10 PORTAS, PRATELEIRAS INTERNAS E PORTAS DE ABRIR 120X290X030 CM.</t>
  </si>
  <si>
    <t>1.18.5</t>
  </si>
  <si>
    <t>COMP033</t>
  </si>
  <si>
    <t>ARMÁRIO  EM MDF E=15MM REVESTIDO EM LAMINADO MELAMÍNICO BRANCO, SUSPENSO, C/ DUAS PORTAS, 96X60X30 (LARGURA X ALTURA X PROFUNDIDADE), CONFORME PROJETO.</t>
  </si>
  <si>
    <t>1.18.6</t>
  </si>
  <si>
    <t>COMP034</t>
  </si>
  <si>
    <t>ARMARIO C/  01 PORTA E GAVETEIRO EM MDF E=15MM REVESTIDO EM LAMINADO MELAMÍNICO BRANCO, SOB BANCADA, C/9 GAVETAS, 165X85X55CM (COMPRIMENTO X ALTURA X PROFUNDIDADE), CONFORME PROJETO</t>
  </si>
  <si>
    <t>1.18.7</t>
  </si>
  <si>
    <t>COMP035</t>
  </si>
  <si>
    <t>ARMÁRIO C/ 06 PORTAS E GAVETEIRO, EM MDF E=15MM REVESTIDO EM LAMINADO MELAMÍNICO BRANCO, SOB BANCADA 467X85X55CM (COMPRIMENTO X ALTURA X PROFUNDIDADE), CONFORME PROJETO</t>
  </si>
  <si>
    <t>1.18.8</t>
  </si>
  <si>
    <t>COMP036</t>
  </si>
  <si>
    <t xml:space="preserve">BALCÃO EM MDF REVESTIDO EM LAMINADO MELAMÍNICO BRANCO 585X75CM, COM FECHAMENTOS E TAMPO EM MDF E=25MM, COM PORTA MDF E DIVISÓRIAS EM ACRÍLICO, CONFORME PROJETO </t>
  </si>
  <si>
    <t>1.19</t>
  </si>
  <si>
    <t>INSTALAÇÕES DE COMBATE A INCÊNDIO</t>
  </si>
  <si>
    <t>1.19.1</t>
  </si>
  <si>
    <t>TUBO DE AÇO GALVANIZADO COM COSTURA, CLASSE MÉDIA, DN 65 (2 1/2"), CONEXÃO ROSQUEADA, INSTALADO EM REDE DE ALIMENTAÇÃO PARA HIDRANTE - FORNECIMENTO E INSTALAÇÃO. AF_10/2020</t>
  </si>
  <si>
    <t>1.19.2</t>
  </si>
  <si>
    <t>ABRIGO PARA HIDRANTE, 90X60X17CM, COM REGISTRO GLOBO ANGULAR 45 GRAUS 2 1/2", ADAPTADOR STORZ 2 1/2", MANGUEIRA DE INCÊNDIO 20M, REDUÇÃO 2 1/2" X 1 1/2" E ESGUICHO EM LATÃO 1 1/2" - FORNECIMENTO E INSTALAÇÃO. AF_10/2020</t>
  </si>
  <si>
    <t>1.19.3</t>
  </si>
  <si>
    <t>10.90.25</t>
  </si>
  <si>
    <t>HIDRANTE DE RECALQUE COMPLETO EM CX. ALVENARIA</t>
  </si>
  <si>
    <t>1.19.4</t>
  </si>
  <si>
    <t>ED-49865</t>
  </si>
  <si>
    <t>CONJUNTO ELEVATÓRIO MOTOR-BOMBA (CENTRÍFUGA) DE 2 HP</t>
  </si>
  <si>
    <t>1.19.5</t>
  </si>
  <si>
    <t>ED-50201</t>
  </si>
  <si>
    <t>PLACA FOTOLUMINESCENTE "S1" OU "S2"- 380 X 190 MM (SAÍDA - DIREITA)</t>
  </si>
  <si>
    <t>1.19.6</t>
  </si>
  <si>
    <t>ED-50202</t>
  </si>
  <si>
    <t>PLACA FOTOLUMINESCENTE "S1" OU "S2"- 380 X 190 MM (SAÍDA - ESQUERDA)</t>
  </si>
  <si>
    <t>1.19.7</t>
  </si>
  <si>
    <t>ED-50205</t>
  </si>
  <si>
    <t>PLACA FOTOLUMINESCENTE "S12" - 380 X 190 MM (SAÍDA)</t>
  </si>
  <si>
    <t>1.19.8</t>
  </si>
  <si>
    <t>ED-50180</t>
  </si>
  <si>
    <t>ACIONADOR MANUAL DE ALARME DE INCÊNDIO</t>
  </si>
  <si>
    <t>1.19.9</t>
  </si>
  <si>
    <t>ED-50184</t>
  </si>
  <si>
    <t>QUADRO DE FORÇA PARA MOTOR DE 3,0 CV, 220V, TRIFÁSICO, CONTENDO DISPOSITIVO PARA PARTIDA MANUAL E AUTOMÁTICA ATRAVÉS DE PRESSOSTATO E SAÍDA PARA ALARME DE BOMBA EM FUNCIONAMENTO</t>
  </si>
  <si>
    <t>1.19.10</t>
  </si>
  <si>
    <t>10.90.24</t>
  </si>
  <si>
    <t>SINALIZADOR PARA EXTINTOR DE INCENDIO EM PVC</t>
  </si>
  <si>
    <t>1.19.11</t>
  </si>
  <si>
    <t>10.90.03</t>
  </si>
  <si>
    <t>EXTINTOR DE INCENDIO  TIPO PO QUIMICO - 6KG</t>
  </si>
  <si>
    <t>1.19.12</t>
  </si>
  <si>
    <t>ED-26989</t>
  </si>
  <si>
    <t>LUMINÁRIA DE EMERGÊNCIA AUTÔNOMA, TIPO LED POTÊNCIA TOTAL DE 2W, FORNECIMENTO E INSTALAÇÃO</t>
  </si>
  <si>
    <t>1.19.13</t>
  </si>
  <si>
    <t>ED-50496</t>
  </si>
  <si>
    <t>PINTURA ESMALTE EM TUBO GALVANIZADO, DUAS (2) DEMÃOS, INCLUSIVE UMA (1) DEMÃO DE FUNDO ANTICORROSIVO</t>
  </si>
  <si>
    <t>1.20</t>
  </si>
  <si>
    <t>SERVIÇOS COMPLEMENTARES</t>
  </si>
  <si>
    <t>1.20.1</t>
  </si>
  <si>
    <t>AR CONDICIONADO SPLIT INVERTER, HI-WALL (PAREDE), 18000 BTU/H, CICLO FRIO - FORNECIMENTO E INSTALAÇÃO. AF_11/2021_PE</t>
  </si>
  <si>
    <t>1.20.2</t>
  </si>
  <si>
    <t>COMP037</t>
  </si>
  <si>
    <t>FORNECIMENTO E INSTALAÇÃO DE CORTINA DE AR L=120CM</t>
  </si>
  <si>
    <t>1.20.3</t>
  </si>
  <si>
    <t>COMP041</t>
  </si>
  <si>
    <t>TOTEM EM ACM COM RECORTE ESPECIAL, 5,00M DE ALTURA X 2,65 DE LARGURA  X 0,12 DE PROFUNDIDADE , APLICAÇÃO DE TEXTO EM ADESIVO EM ALTA RESOLUÇÃO, CORES AZUL E BRANCO EM ALTO BRILHO, INCLUSO ALVENARIA,  PILARES, CHAPISCO E EMBOÇO, EXCLUSO VALOR DA FUNDAÇÃO.</t>
  </si>
  <si>
    <t>1.20.4</t>
  </si>
  <si>
    <t>COMP040</t>
  </si>
  <si>
    <t>PLACA DE IDENTIFICAÇÃO DA UNIDADE EM LONA DE ALTA RESOLUÇÃO, ESTRUTURA DE METALON PINTADO DE BRANCO, MEDIDAS 6,00X1,00M, FORNECIMENTO E INSTALAÇÃO.</t>
  </si>
  <si>
    <t>1.20.5</t>
  </si>
  <si>
    <t>COMP049</t>
  </si>
  <si>
    <t>PLACA DE IDENTIFICAÇÃO DAS SALAS EM PVC 0,2MM NA MEDIDA 40X15CM ADESIVADA, IMPRESSÃO EM ALTA RESOLUÇÃO</t>
  </si>
  <si>
    <t>1.20.6</t>
  </si>
  <si>
    <t>ED-50266</t>
  </si>
  <si>
    <t>LIMPEZA FINAL PARA ENTREGA DA OBRA</t>
  </si>
  <si>
    <t>1.20.7</t>
  </si>
  <si>
    <t>COMP024</t>
  </si>
  <si>
    <t>PLACA DE INAUGURAÇÃO 80X60CM CONTENDO NOME DO LOCAL, EQUIPE DA GESTÃO, VEREADORES MUNICIPAIS E DESTINAÇÃO DO RECURSO DA OBRA</t>
  </si>
  <si>
    <t>1.21</t>
  </si>
  <si>
    <t>ADMINISTRAÇÃO LOCAL</t>
  </si>
  <si>
    <t>1.21.1</t>
  </si>
  <si>
    <t>COMP044</t>
  </si>
  <si>
    <t>MÊS</t>
  </si>
  <si>
    <t>TOTAL GERAL DA OBRA</t>
  </si>
  <si>
    <t>DIÓRGENES DE SOUZA BARBOSA</t>
  </si>
  <si>
    <t>DIRETOR DE OBRAS</t>
  </si>
  <si>
    <t>(    ) DIRETA</t>
  </si>
  <si>
    <t xml:space="preserve">FORMA DE EXECUÇÃO:    </t>
  </si>
  <si>
    <t>( X )INDIRETA</t>
  </si>
  <si>
    <t>OBRA: REFORMA DA UNIDADE BÁSICA DE SAÚDE SOLARIUM</t>
  </si>
  <si>
    <t>PRAZO DE EXECUÇÃO: 06 MESES</t>
  </si>
  <si>
    <t>PREFEITURA MUNICIPAL DE LAGOA SANTA</t>
  </si>
  <si>
    <t>Secretaria Municipal de  Desenvolvimento Urbano - Diretoria de Obras</t>
  </si>
  <si>
    <t>DATA: 09/08/2023</t>
  </si>
  <si>
    <t>CRONOGRAMA FÍSICO-FINANCEIRO</t>
  </si>
  <si>
    <t>ETAPAS/DESCRIÇÃO</t>
  </si>
  <si>
    <t>FÍSICO/ FINANCEIRO</t>
  </si>
  <si>
    <t>TOTAL  ETAPAS</t>
  </si>
  <si>
    <t>MÊS 01</t>
  </si>
  <si>
    <t>MÊS 02</t>
  </si>
  <si>
    <t>MÊS 03</t>
  </si>
  <si>
    <t>MÊS 04</t>
  </si>
  <si>
    <t>MÊS 05</t>
  </si>
  <si>
    <t>MÊS 06</t>
  </si>
  <si>
    <t>1</t>
  </si>
  <si>
    <t>2</t>
  </si>
  <si>
    <t>3</t>
  </si>
  <si>
    <t>4</t>
  </si>
  <si>
    <t>5</t>
  </si>
  <si>
    <t>6</t>
  </si>
  <si>
    <t>7</t>
  </si>
  <si>
    <t>8</t>
  </si>
  <si>
    <t>9</t>
  </si>
  <si>
    <t>10</t>
  </si>
  <si>
    <t>11</t>
  </si>
  <si>
    <t>12</t>
  </si>
  <si>
    <t>13</t>
  </si>
  <si>
    <t>14</t>
  </si>
  <si>
    <t>15</t>
  </si>
  <si>
    <t>16</t>
  </si>
  <si>
    <t>17</t>
  </si>
  <si>
    <t>18</t>
  </si>
  <si>
    <t>19</t>
  </si>
  <si>
    <t>20</t>
  </si>
  <si>
    <t>21</t>
  </si>
  <si>
    <t>TOTAL</t>
  </si>
  <si>
    <t>Lagoa Santa, 10  de Agosto de 2023.</t>
  </si>
  <si>
    <t>COMP042</t>
  </si>
  <si>
    <t>COMPOSIÇÕES</t>
  </si>
  <si>
    <t>CUSTO UNIT</t>
  </si>
  <si>
    <t>PMLS</t>
  </si>
  <si>
    <t>COMP001</t>
  </si>
  <si>
    <t>REMOÇÃO DE COBERTURA POLICARBONATO</t>
  </si>
  <si>
    <t>Composições</t>
  </si>
  <si>
    <t xml:space="preserve"> </t>
  </si>
  <si>
    <t>FONTE</t>
  </si>
  <si>
    <t>COEFIC.</t>
  </si>
  <si>
    <t>DESONERADO</t>
  </si>
  <si>
    <t>NÃO DESONER.</t>
  </si>
  <si>
    <t>PMLS COMP015</t>
  </si>
  <si>
    <t>SETOP</t>
  </si>
  <si>
    <t>ED-51018</t>
  </si>
  <si>
    <t>BARRA CHATA DE ALUMÍNIO 3/4" X 1/4" X 3M</t>
  </si>
  <si>
    <t>ED-20575</t>
  </si>
  <si>
    <t>FORNECIMENTO DE ESTRUTURA METÁLICA E ENGRADAMENTO METÁLICO, EM AÇO, SOBRE LAJE PARA TELHA CERÂMICA, COBERTURA PADRÃO DO PRÉDIO ESCOLAR, EXCLUSIVE TELHA, INCLUSIVE FABRICAÇÃO, TRANSPORTE, MONTAGEM, APLICAÇÃO DE FUNDO PREPARADOR ANTICORROSIVO, UMA (1) DEMÃO E PINTURA ESMALTE, DUAS (2) DEMÃOS</t>
  </si>
  <si>
    <t>SINAPI-I</t>
  </si>
  <si>
    <t>151</t>
  </si>
  <si>
    <t xml:space="preserve">IMPERMEABILIZANTE INCOLOR,  BASE SILICONE, PARA TRATAMENTO DE FACHADAS, TELHAS, PEDRAS E OUTRAS SUPERFICIES                                                                                                                                                                                                                                                                                                                                                                                               </t>
  </si>
  <si>
    <t xml:space="preserve">L     </t>
  </si>
  <si>
    <t>SINAPI</t>
  </si>
  <si>
    <t>88323</t>
  </si>
  <si>
    <t>TELHADISTA COM ENCARGOS COMPLEMENTARES</t>
  </si>
  <si>
    <t>H</t>
  </si>
  <si>
    <t>11552</t>
  </si>
  <si>
    <t xml:space="preserve">PERFIL U DE ABAS IGUAIS, EM ALUMINIO, 1/2" (1,27 X 1,27 CM), PARA PORTA OU JANELA DE CORRER                                                                                                                                                                                                                                                                                                                                                                                                               </t>
  </si>
  <si>
    <t xml:space="preserve">M     </t>
  </si>
  <si>
    <t>88316</t>
  </si>
  <si>
    <t>SERVENTE COM ENCARGOS COMPLEMENTARES</t>
  </si>
  <si>
    <t>4377</t>
  </si>
  <si>
    <t xml:space="preserve">PARAFUSO DE ACO ZINCADO COM ROSCA SOBERBA, CABECA CHATA E FENDA SIMPLES, DIAMETRO 4,2 MM, COMPRIMENTO * 32 * MM                                                                                                                                                                                                                                                                                                                                                                                           </t>
  </si>
  <si>
    <t>11963</t>
  </si>
  <si>
    <t xml:space="preserve">PARAFUSO DE ACO TIPO CHUMBADOR PARABOLT, DIAMETRO 1/2", COMPRIMENTO 75 MM                                                                                                                                                                                                                                                                                                                                                                                                                                 </t>
  </si>
  <si>
    <t>COTAÇÃO</t>
  </si>
  <si>
    <t>005</t>
  </si>
  <si>
    <t>PLACA POLICARBONATO ALVEOLAR 6MM CRISTAL 210X600</t>
  </si>
  <si>
    <t>PMLS COMP016</t>
  </si>
  <si>
    <t>5318</t>
  </si>
  <si>
    <t xml:space="preserve">DILUENTE AGUARRAS                                                                                                                                                                                                                                                                                                                                                                                                                                                                                         </t>
  </si>
  <si>
    <t>43776</t>
  </si>
  <si>
    <t xml:space="preserve">TINTA A OLEO BRILHANTE, PARA MADEIRAS E METAIS                                                                                                                                                                                                                                                                                                                                                                                                                                                            </t>
  </si>
  <si>
    <t>88310</t>
  </si>
  <si>
    <t>PINTOR COM ENCARGOS COMPLEMENTARES</t>
  </si>
  <si>
    <t>PMLS COMP017</t>
  </si>
  <si>
    <t>COMP017</t>
  </si>
  <si>
    <t>REMOÇÃO DE CAIXA D'ÁGUA</t>
  </si>
  <si>
    <t>88309</t>
  </si>
  <si>
    <t>PEDREIRO COM ENCARGOS COMPLEMENTARES</t>
  </si>
  <si>
    <t>88267</t>
  </si>
  <si>
    <t>ENCANADOR OU BOMBEIRO HIDRÁULICO COM ENCARGOS COMPLEMENTARES</t>
  </si>
  <si>
    <t>PMLS COMP018</t>
  </si>
  <si>
    <t>PORTA DE VIDRO TEMPERADO 300X260CM DE CORRER E=10MM INCLUSIVE BANDEIRA FIXA SUPERIOR EM VIDRO TEMPERADO =6MM E VIDROS FIXOS LAMINADOS NAS LATERAIS</t>
  </si>
  <si>
    <t>3104</t>
  </si>
  <si>
    <t xml:space="preserve">CONJ. DE FERRAGENS PARA PORTA DE VIDRO TEMPERADO, EM ZAMAC CROMADO, CONTEMPLANDO DOBRADICA INF., DOBRADICA SUP., PIVO PARA DOBRADICA INF., PIVO PARA DOBRADICA SUP., FECHADURA CENTRAL EM ZAMC. CROMADO, CONTRA FECHADURA DE PRESSAO                                                                                                                                                                                                                                                                      </t>
  </si>
  <si>
    <t xml:space="preserve">CJ    </t>
  </si>
  <si>
    <t>102177</t>
  </si>
  <si>
    <t>INSTALAÇÃO DE VIDRO LAMINADO, E = 12 MM (4+4+4), ENCAIXADO EM PERFIL U. AF_01/2021_PS</t>
  </si>
  <si>
    <t>102179</t>
  </si>
  <si>
    <t>INSTALAÇÃO DE VIDRO TEMPERADO, E = 6 MM, ENCAIXADO EM PERFIL U. AF_01/2021_PS</t>
  </si>
  <si>
    <t>34713</t>
  </si>
  <si>
    <t xml:space="preserve">PORTA VIDRO TEMPERADO INCOLOR, 2 FOLHAS DE CORRER, E = 10 MM (SEM FERRAGENS E SEM COLOCACAO)                                                                                                                                                                                                                                                                                                                                                                                                              </t>
  </si>
  <si>
    <t xml:space="preserve">M2    </t>
  </si>
  <si>
    <t>88325</t>
  </si>
  <si>
    <t>VIDRACEIRO COM ENCARGOS COMPLEMENTARES</t>
  </si>
  <si>
    <t>PMLS COMP019</t>
  </si>
  <si>
    <t>37562</t>
  </si>
  <si>
    <t xml:space="preserve">PORTAO DE CORRER EM GRADIL FIXO DE BARRA DE FERRO CHATA DE 3 X 1/4" NA VERTICAL, SEM REQUADRO, ACABAMENTO NATURAL, COM TRILHOS E ROLDANAS                                                                                                                                                                                                                                                                                                                                                                 </t>
  </si>
  <si>
    <t>SUDECAP</t>
  </si>
  <si>
    <t>13.38.29</t>
  </si>
  <si>
    <t>GRADIL NYLOFOR H=2.03 M INCLUSIVE POSTE OU EQUIVALENTE</t>
  </si>
  <si>
    <t>ED-48193</t>
  </si>
  <si>
    <t>ALVENARIA DE VEDAÇÃO COM BLOCO DE CONCRETO, ESP. 19CM, PARA REVESTIMENTO, INCLUSIVE ARGAMASSA PARA ASSENTAMENTO</t>
  </si>
  <si>
    <t>40.22.30</t>
  </si>
  <si>
    <t>ACO CA-50  E CA-60 - CORTE, DOBRAMENTO E COLOCACAO</t>
  </si>
  <si>
    <t>ED-49643</t>
  </si>
  <si>
    <t>FÔRMA E DESFORMA DE TÁBUA E SARRAFO, REAPROVEITAMENTO (3X), EXCLUSIVE ESCORAMENTO</t>
  </si>
  <si>
    <t>ED-8494</t>
  </si>
  <si>
    <t>CONCRETO ESTRUTURAL, PREPARADO EM OBRA COM BETONEIRA, CONTROLE "A", COM FCK 20MPA, BRITA Nº (1), CONSISTÊNCIA PARA VIBRAÇÃO (FABRICAÇÃO)</t>
  </si>
  <si>
    <t>14.05.05</t>
  </si>
  <si>
    <t>CHAPISCO COM ARGAMASSA 1:3 CIM./AREIA, A COLHER</t>
  </si>
  <si>
    <t>14.05.34</t>
  </si>
  <si>
    <t>REBOCO COM ARGAMASSA 1:4</t>
  </si>
  <si>
    <t>PMLS COMP020</t>
  </si>
  <si>
    <t>ED-49587</t>
  </si>
  <si>
    <t>FOLHA DE PORTA MADEIRA DE LEI PRANCHETA PARA PINTURA 80 X 210 CM</t>
  </si>
  <si>
    <t>38165</t>
  </si>
  <si>
    <t xml:space="preserve">FECHO / FECHADURA COM PUXADOR CONCHA, COM TRANCA TIPO TRAVA, PARA JANELA / PORTA DE CORRER (INCLUI TESTA, FECHADURA, PUXADOR) - COMPLETA                                                                                                                                                                                                                                                                                                                                                                  </t>
  </si>
  <si>
    <t>12.08.01</t>
  </si>
  <si>
    <t>MARCO DE MADEIRA PARA PORTAS, FIXADO COM ARGAMASSA, SEM ALIZARES, FORNECIMENTO E INSTALAÇÃO REF 90806</t>
  </si>
  <si>
    <t xml:space="preserve">FECHADRUA BICO DE PAPAGAIO PARA PORTA DE CORRER EXTERNA, EM ACO INOX COM ACABAMENTO CROMADO, MAQUINA COM 45 MM, INCLUINDO CHAVE TIPO CILINDRO                                                                                                                                                                                                                                                                                                                                                             </t>
  </si>
  <si>
    <t xml:space="preserve">ROLDANA CONCAVA DUPLA, 4 RODAS, EM ZAMAC COM CHAPA DE LATAO, ROLAMENTOS EM ACO, PARA PORTAS E JANELAS DE CORRER                                                                                                                                                                                                                                                                                                                                                                                           </t>
  </si>
  <si>
    <t>88273</t>
  </si>
  <si>
    <t>MARCENEIRO COM ENCARGOS COMPLEMENTARES</t>
  </si>
  <si>
    <t>88243</t>
  </si>
  <si>
    <t>AJUDANTE ESPECIALIZADO COM ENCARGOS COMPLEMENTARES</t>
  </si>
  <si>
    <t>PMLS COMP021</t>
  </si>
  <si>
    <t>21108</t>
  </si>
  <si>
    <t xml:space="preserve">PISO EM PORCELANATO RETIFICADO EXTRA, FORMATO MENOR OU IGUAL A 2025 CM2                                                                                                                                                                                                                                                                                                                                                                                                                                   </t>
  </si>
  <si>
    <t>37595</t>
  </si>
  <si>
    <t xml:space="preserve">ARGAMASSA COLANTE TIPO AC III                                                                                                                                                                                                                                                                                                                                                                                                                                                                             </t>
  </si>
  <si>
    <t xml:space="preserve">KG    </t>
  </si>
  <si>
    <t>34357</t>
  </si>
  <si>
    <t xml:space="preserve">REJUNTE CIMENTICIO, QUALQUER COR                                                                                                                                                                                                                                                                                                                                                                                                                                                                          </t>
  </si>
  <si>
    <t>88256</t>
  </si>
  <si>
    <t>AZULEJISTA OU LADRILHISTA COM ENCARGOS COMPLEMENTARES</t>
  </si>
  <si>
    <t>PMLS COMP022</t>
  </si>
  <si>
    <t>PMLS COMP023</t>
  </si>
  <si>
    <t>88251</t>
  </si>
  <si>
    <t>AUXILIAR DE SERRALHEIRO COM ENCARGOS COMPLEMENTARES</t>
  </si>
  <si>
    <t>88315</t>
  </si>
  <si>
    <t>SERRALHEIRO COM ENCARGOS COMPLEMENTARES</t>
  </si>
  <si>
    <t>SUDECAP-I</t>
  </si>
  <si>
    <t>60.11.15</t>
  </si>
  <si>
    <t>FERRO REDONDO MECANICO SAE 1020 D= 1/2"</t>
  </si>
  <si>
    <t>60.15.15</t>
  </si>
  <si>
    <t>BARRA DE FERRO RETANGULAR, BARRA CHATA, 1" X 1/4" (L X E), 1,2265 KG/M</t>
  </si>
  <si>
    <t>60.17.15</t>
  </si>
  <si>
    <t>CANTONEIRA FERRO GALVANIZADO DE ABAS IGUAIS, 1" X 1/8" (L X E) , 1,20KG/M</t>
  </si>
  <si>
    <t>60.19.15</t>
  </si>
  <si>
    <t>FERRO TE 3/4"x1/8"</t>
  </si>
  <si>
    <t>7164</t>
  </si>
  <si>
    <t xml:space="preserve">TELA DE ARAME ONDULADA, FIO *2,77* MM (12 BWG), MALHA 5 X 5 CM, H = 2 M                                                                                                                                                                                                                                                                                                                                                                                                                                   </t>
  </si>
  <si>
    <t>65.78.20</t>
  </si>
  <si>
    <t>DOBRADIÇA CONVENCIONAL EM METAL CROMADO 3" X 2 1/2", COM ANEL E PARAFUSOS, LINHA MÉDIA (NBR 7178) E=2MM, OU EQUIVALENTE</t>
  </si>
  <si>
    <t>PMLS COMP024</t>
  </si>
  <si>
    <t>83.17.05</t>
  </si>
  <si>
    <t xml:space="preserve">PLACA DE INAUGURACAO METALICA, *40* CM X *60* CM </t>
  </si>
  <si>
    <t>7584</t>
  </si>
  <si>
    <t xml:space="preserve">BUCHA DE NYLON SEM ABA S12, COM PARAFUSO DE 5/16" X 80 MM EM ACO ZINCADO COM ROSCA SOBERBA E CABECA SEXTAVADA                                                                                                                                                                                                                                                                                                                                                                                             </t>
  </si>
  <si>
    <t>6127</t>
  </si>
  <si>
    <t xml:space="preserve">AUXILIAR DE PEDREIRO (HORISTA)                                                                                                                                                                                                                                                                                                                                                                                                                                                                            </t>
  </si>
  <si>
    <t xml:space="preserve">H     </t>
  </si>
  <si>
    <t>PMLS COMP025</t>
  </si>
  <si>
    <t>39662</t>
  </si>
  <si>
    <t xml:space="preserve">TUBO DE COBRE FLEXIVEL, D = 1/4 ", E = 0,79 MM, PARA AR-CONDICIONADO/ INSTALACOES GAS RESIDENCIAIS E COMERCIAIS                                                                                                                                                                                                                                                                                                                                                                                           </t>
  </si>
  <si>
    <t>ED-50034</t>
  </si>
  <si>
    <t>FORNECIMENTO E ASSENTAMENTO DE TUBO PVC RÍGIDO, ESGOTO, PB - SÉRIE NORMAL, DN 40MM (1.1/2"), INCLUSIVE CONEXÕES</t>
  </si>
  <si>
    <t>01.08.20</t>
  </si>
  <si>
    <t>TUBO PVC AGUA SOLDA E CONEXOES D=20MM (1/2")</t>
  </si>
  <si>
    <t>91925</t>
  </si>
  <si>
    <t>CABO DE COBRE FLEXÍVEL ISOLADO, 1,5 MM², ANTI-CHAMA 0,6/1,0 KV, PARA CIRCUITOS TERMINAIS - FORNECIMENTO E INSTALAÇÃO. AF_03/2023</t>
  </si>
  <si>
    <t>91927</t>
  </si>
  <si>
    <t>CABO DE COBRE FLEXÍVEL ISOLADO, 2,5 MM², ANTI-CHAMA 0,6/1,0 KV, PARA CIRCUITOS TERMINAIS - FORNECIMENTO E INSTALAÇÃO. AF_03/2023</t>
  </si>
  <si>
    <t>39243</t>
  </si>
  <si>
    <t xml:space="preserve">ELETRODUTO PVC FLEXIVEL CORRUGADO, REFORCADO, COR LARANJA, DE 20 MM, PARA LAJES E PISOS                                                                                                                                                                                                                                                                                                                                                                                                                   </t>
  </si>
  <si>
    <t>ED-50710</t>
  </si>
  <si>
    <t>RASGO EM CONCRETO PARA PASSAGEM DE ELETRODUTO/TUBULAÇÃO, DIÂMETROS DE 15MM A 25MM (1/2" A 1"), EXCLUSIVE ENCHIMENTO</t>
  </si>
  <si>
    <t>ED-50711</t>
  </si>
  <si>
    <t>RASGO EM CONCRETO PARA PASSAGEM DE ELETRODUTO/TUBULAÇÃO, DIÂMETROS DE 32MM A 50MM (1.1/4" A 2"), EXCLUSIVE ENCHIMENTO</t>
  </si>
  <si>
    <t>PMLS COMP026</t>
  </si>
  <si>
    <t>11029</t>
  </si>
  <si>
    <t xml:space="preserve">HASTE RETA PARA GANCHO DE FERRO GALVANIZADO, COM ROSCA 1/4 " X 30 CM PARA FIXACAO DE TELHA METALICA, INCLUI PORCA E ARRUELAS DE VEDACAO                                                                                                                                                                                                                                                                                                                                                                   </t>
  </si>
  <si>
    <t>006</t>
  </si>
  <si>
    <t>TELHA TRAPEZOIDAL POLICARBONATO TRANSPARENTE 244X99CM</t>
  </si>
  <si>
    <t>93281</t>
  </si>
  <si>
    <t>GUINCHO ELÉTRICO DE COLUNA, CAPACIDADE 400 KG, COM MOTO FREIO, MOTOR TRIFÁSICO DE 1,25 CV - CHP DIURNO. AF_03/2016</t>
  </si>
  <si>
    <t>CHP</t>
  </si>
  <si>
    <t>93282</t>
  </si>
  <si>
    <t>GUINCHO ELÉTRICO DE COLUNA, CAPACIDADE 400 KG, COM MOTO FREIO, MOTOR TRIFÁSICO DE 1,25 CV - CHI DIURNO. AF_03/2016</t>
  </si>
  <si>
    <t>CHI</t>
  </si>
  <si>
    <t>PMLS COMP027</t>
  </si>
  <si>
    <t>40.24.15</t>
  </si>
  <si>
    <t>ARGAMASSA DE CIMENTO E AREIA 1:3</t>
  </si>
  <si>
    <t>PMLS COMP028</t>
  </si>
  <si>
    <t>007</t>
  </si>
  <si>
    <t>CUBA DE DESCARGA EM INOX 304 - EXPURGO D=30CM</t>
  </si>
  <si>
    <t>73.70.02</t>
  </si>
  <si>
    <t>CUBA PARA PIA ACO INOX NO. 2 METALPRESS/EQUIVALENTE</t>
  </si>
  <si>
    <t>ED-48342</t>
  </si>
  <si>
    <t>FURO DE BOJO EM BANCADA DE GRANITO/MÁRMORE, INCLUSIVE COLAGEM COM MASSA PLÁSTICA</t>
  </si>
  <si>
    <t>60.21.15</t>
  </si>
  <si>
    <t>METALON CHAPA 18 - 30x20mm / (50X30MM)</t>
  </si>
  <si>
    <t>008</t>
  </si>
  <si>
    <t>BANCADA GRANITO BRANCO DALLAS, INCLUSIVE  RODABANCA E TESTEIRA</t>
  </si>
  <si>
    <t>PMLS COMP029</t>
  </si>
  <si>
    <t>34664</t>
  </si>
  <si>
    <t xml:space="preserve">CHAPA DE MDF BRANCO LISO 2 FACES, E = 15 MM, DE *2,75 X 1,85* M                                                                                                                                                                                                                                                                                                                                                                                                                                           </t>
  </si>
  <si>
    <t>0001</t>
  </si>
  <si>
    <t>PUXADOR AÇO ESCOVADO 352MM</t>
  </si>
  <si>
    <t xml:space="preserve">UNI </t>
  </si>
  <si>
    <t>0002</t>
  </si>
  <si>
    <t>CORREDIÇA TELESCÓPICA 400MM</t>
  </si>
  <si>
    <t>11960</t>
  </si>
  <si>
    <t xml:space="preserve">PARAFUSO DE LATAO COM ROSCA SOBERBA, CABECA CHATA E FENDA SIMPLES, DIAMETRO 2,5 MM, COMPRIMENTO 12 MM                                                                                                                                                                                                                                                                                                                                                                                                     </t>
  </si>
  <si>
    <t>004</t>
  </si>
  <si>
    <t>FITA DE BORDO PVC, ROLO 22MM X 20M, BRANCO</t>
  </si>
  <si>
    <t>RL</t>
  </si>
  <si>
    <t>4791</t>
  </si>
  <si>
    <t xml:space="preserve">ADESIVO ACRILICO DE BASE AQUOSA / COLA DE CONTATO                                                                                                                                                                                                                                                                                                                                                                                                                                                         </t>
  </si>
  <si>
    <t>242</t>
  </si>
  <si>
    <t xml:space="preserve">AJUDANTE ESPECIALIZADO (HORISTA)                                                                                                                                                                                                                                                                                                                                                                                                                                                                          </t>
  </si>
  <si>
    <t>PMLS COMP030</t>
  </si>
  <si>
    <t>003</t>
  </si>
  <si>
    <t>DOBRADIÇA RETA</t>
  </si>
  <si>
    <t>PMLS COMP031</t>
  </si>
  <si>
    <t>PMLS COMP032</t>
  </si>
  <si>
    <t>11581</t>
  </si>
  <si>
    <t xml:space="preserve">TRILHO PANTOGRAFICO CONCAVO, TIPO U, EM ALUMINIO, COM DIMENSOES DE APROX *35 X 35* MM, PARA ROLDANA DE PORTA DE CORRER                                                                                                                                                                                                                                                                                                                                                                                    </t>
  </si>
  <si>
    <t>65.80.70</t>
  </si>
  <si>
    <t>PUXADOR CONCHA DE EMBUTIR, EM LATAO CROMADO, PARA PORTA / JANELA DE CORRER, LISO, SEM FURO PARA CHAVE, COM FUROS PARA FIXAR PARAFUSOS, *30 X 90* MM (LARGURA X ALTURA)</t>
  </si>
  <si>
    <t>PMLS COMP033</t>
  </si>
  <si>
    <t>PMLS COMP034</t>
  </si>
  <si>
    <t>PMLS COMP035</t>
  </si>
  <si>
    <t>PMLS COMP036</t>
  </si>
  <si>
    <t>34666</t>
  </si>
  <si>
    <t xml:space="preserve">CHAPA DE MDF BRANCO LISO 2 FACES, E = 25 MM, DE *2,75 X 1,85* M                                                                                                                                                                                                                                                                                                                                                                                                                                           </t>
  </si>
  <si>
    <t>009</t>
  </si>
  <si>
    <t>CHAPA DE ACRÍLICO TRANSPARENTE E=3MM 100X200CM</t>
  </si>
  <si>
    <t>3122</t>
  </si>
  <si>
    <t xml:space="preserve">FERROLHO COM FECHO / TRINCO REDONDO, EM ACO GALVANIZADO / ZINCADO, DE SOBREPOR, COM COMPRIMENTO DE 3" A 4" E ESPESSURA MINIMA DA CHAPA DE 0,90 MM                                                                                                                                                                                                                                                                                                                                                         </t>
  </si>
  <si>
    <t>PMLS COMP037</t>
  </si>
  <si>
    <t>010</t>
  </si>
  <si>
    <t>CORTINA DE AR L=120CM</t>
  </si>
  <si>
    <t>7568</t>
  </si>
  <si>
    <t xml:space="preserve">BUCHA DE NYLON SEM ABA S10, COM PARAFUSO DE 6,10 X 65 MM EM ACO ZINCADO COM ROSCA SOBERBA, CABECA CHATA E FENDA PHILLIPS                                                                                                                                                                                                                                                                                                                                                                                  </t>
  </si>
  <si>
    <t>13246</t>
  </si>
  <si>
    <t xml:space="preserve">PARAFUSO DE FERRO POLIDO, SEXTAVADO, COM ROSCA INTEIRA, DIAMETRO 5/16", COMPRIMENTO 3/4", COM PORCA E ARRUELA LISA LEVE                                                                                                                                                                                                                                                                                                                                                                                   </t>
  </si>
  <si>
    <t>100308</t>
  </si>
  <si>
    <t>MECÂNICO DE REFRIGERAÇÃO COM ENCARGOS COMPLEMENTARES</t>
  </si>
  <si>
    <t>PMLS COMP038</t>
  </si>
  <si>
    <t>PMLS COMP039</t>
  </si>
  <si>
    <t>PMLS COMP040</t>
  </si>
  <si>
    <t>83.17.01</t>
  </si>
  <si>
    <t>INFORME EM LONA IMPRESSAO DIGITAL 720DPI COM ILHOS</t>
  </si>
  <si>
    <t>5104</t>
  </si>
  <si>
    <t xml:space="preserve">REBITE DE ALUMINIO VAZADO DE REPUXO, 3,2 X 8 MM (1KG = 1025 UNIDADES)                                                                                                                                                                                                                                                                                                                                                                                                                                     </t>
  </si>
  <si>
    <t>4382</t>
  </si>
  <si>
    <t xml:space="preserve">PARAFUSO ZINCADO, SEXTAVADO, COM ROSCA SOBERBA, DIAMETRO 5/16", COMPRIMENTO 80 MM                                                                                                                                                                                                                                                                                                                                                                                                                         </t>
  </si>
  <si>
    <t>100739</t>
  </si>
  <si>
    <t>PINTURA COM TINTA ALQUÍDICA DE ACABAMENTO (ESMALTE SINTÉTICO ACETINADO) PULVERIZADA SOBRE PERFIL METÁLICO EXECUTADO EM FÁBRICA (POR DEMÃO). AF_01/2020_PE</t>
  </si>
  <si>
    <t>PMLS COMP041</t>
  </si>
  <si>
    <t>ED-48231</t>
  </si>
  <si>
    <t>ALVENARIA DE VEDAÇÃO COM TIJOLO CERÂMICO FURADO, ESP. 9CM, PARA REVESTIMENTO, INCLUSIVE ARGAMASSA PARA ASSENTAMENTO</t>
  </si>
  <si>
    <t>14.05.21</t>
  </si>
  <si>
    <t>EMBOÇO COM ARGAMASSA 1:6 CIMENTO E AREIA</t>
  </si>
  <si>
    <t>87894</t>
  </si>
  <si>
    <t>CHAPISCO APLICADO EM ALVENARIA (SEM PRESENÇA DE VÃOS) E ESTRUTURAS DE CONCRETO DE FACHADA, COM COLHER DE PEDREIRO.  ARGAMASSA TRAÇO 1:3 COM PREPARO EM BETONEIRA 400L. AF_10/2022</t>
  </si>
  <si>
    <t>103669</t>
  </si>
  <si>
    <t>92263</t>
  </si>
  <si>
    <t>92762</t>
  </si>
  <si>
    <t>ARMAÇÃO DE PILAR OU VIGA DE ESTRUTURA CONVENCIONAL DE CONCRETO ARMADO UTILIZANDO AÇO CA-50 DE 10,0 MM - MONTAGEM. AF_06/2022</t>
  </si>
  <si>
    <t>92759</t>
  </si>
  <si>
    <t>ARMAÇÃO DE PILAR OU VIGA DE ESTRUTURA CONVENCIONAL DE CONCRETO ARMADO UTILIZANDO AÇO CA-60 DE 5,0 MM - MONTAGEM. AF_06/2022</t>
  </si>
  <si>
    <t>011</t>
  </si>
  <si>
    <t>REVESTIMENTO DE TOTEM EM ACM 3MM COM APLICAÇÃO DE TEXTO EM ADESIVO DE ALTA RESOLUÇÃO, DIMENSÕES 5,00X2,60M E 1,80X380M</t>
  </si>
  <si>
    <t>PMLS COMP043</t>
  </si>
  <si>
    <t>97096</t>
  </si>
  <si>
    <t>CONCRETAGEM DE RADIER, PISO DE CONCRETO OU LAJE SOBRE SOLO, FCK 30 MPA - LANÇAMENTO, ADENSAMENTO E ACABAMENTO. AF_09/2021</t>
  </si>
  <si>
    <t>97093</t>
  </si>
  <si>
    <t>ARMAÇÃO PARA EXECUÇÃO DE RADIER, PISO DE CONCRETO OU LAJE SOBRE SOLO, COM USO DE TELA Q-283. AF_09/2021</t>
  </si>
  <si>
    <t>97087</t>
  </si>
  <si>
    <t>CAMADA SEPARADORA PARA EXECUÇÃO DE RADIER, PISO DE CONCRETO OU LAJE SOBRE SOLO, EM LONA PLÁSTICA. AF_09/2021</t>
  </si>
  <si>
    <t>97084</t>
  </si>
  <si>
    <t>COMPACTAÇÃO MECÂNICA DE SOLO PARA EXECUÇÃO DE RADIER, PISO DE CONCRETO OU LAJE SOBRE SOLO, COM COMPACTADOR DE SOLOS TIPO PLACA VIBRATÓRIA. AF_09/2021</t>
  </si>
  <si>
    <t>100324</t>
  </si>
  <si>
    <t>LASTRO COM MATERIAL GRANULAR (PEDRA BRITADA N.1 E PEDRA BRITADA N.2), APLICADO EM PISOS OU LAJES SOBRE SOLO, ESPESSURA DE *10 CM*. AF_07/2019</t>
  </si>
  <si>
    <t>97097</t>
  </si>
  <si>
    <t>ACABAMENTO POLIDO PARA PISO DE CONCRETO ARMADO OU LAJE SOBRE SOLO DE ALTA RESISTÊNCIA. AF_09/2021</t>
  </si>
  <si>
    <t>PMLS COMP044</t>
  </si>
  <si>
    <t>93572</t>
  </si>
  <si>
    <t>ENCARREGADO GERAL DE OBRAS COM ENCARGOS COMPLEMENTARES</t>
  </si>
  <si>
    <t>MES</t>
  </si>
  <si>
    <t>100319</t>
  </si>
  <si>
    <t>ENGENHEIRO CIVIL JUNIOR COM ENCARGOS COMPLEMENTARES</t>
  </si>
  <si>
    <t>PMLS COMP045</t>
  </si>
  <si>
    <t>86938</t>
  </si>
  <si>
    <t>CUBA DE EMBUTIR OVAL EM LOUÇA BRANCA, 35 X 50CM OU EQUIVALENTE, INCLUSO VÁLVULA E SIFÃO TIPO GARRAFA EM METAL CROMADO - FORNECIMENTO E INSTALAÇÃO. AF_01/2020</t>
  </si>
  <si>
    <t>PMLS COMP046</t>
  </si>
  <si>
    <t>7583</t>
  </si>
  <si>
    <t xml:space="preserve">BUCHA DE NYLON SEM ABA S8, COM PARAFUSO DE 4,80 X 50 MM EM ACO ZINCADO COM ROSCA SOBERBA, CABECA CHATA E FENDA PHILLIPS                                                                                                                                                                                                                                                                                                                                                                                   </t>
  </si>
  <si>
    <t>PMLS COMP047</t>
  </si>
  <si>
    <t>012</t>
  </si>
  <si>
    <t>PORTA SANFONADA</t>
  </si>
  <si>
    <t>PMLS COMP048</t>
  </si>
  <si>
    <t>013</t>
  </si>
  <si>
    <t>TORNEIRA COM ACIONAMENTO POR PEDAL</t>
  </si>
  <si>
    <t>88248</t>
  </si>
  <si>
    <t>AUXILIAR DE ENCANADOR OU BOMBEIRO HIDRÁULICO COM ENCARGOS COMPLEMENTARES</t>
  </si>
  <si>
    <t>88264</t>
  </si>
  <si>
    <t>ELETRICISTA COM ENCARGOS COMPLEMENTARES</t>
  </si>
  <si>
    <t>PMLS COMP049</t>
  </si>
  <si>
    <t>014</t>
  </si>
  <si>
    <t>PLACA PVC ADESIVADA</t>
  </si>
  <si>
    <t>83.41.04</t>
  </si>
  <si>
    <t>FITA DUPLA FACE TRANSFERIVEL VHB12MMX20M UNITARIO 3M OU EQUIVALENTE</t>
  </si>
  <si>
    <t>UN.</t>
  </si>
  <si>
    <t>PMLS COMP050</t>
  </si>
  <si>
    <t>Data</t>
  </si>
  <si>
    <t>Responsável Técnico:</t>
  </si>
  <si>
    <t>CREA/CAU:</t>
  </si>
  <si>
    <t>0,00</t>
  </si>
</sst>
</file>

<file path=xl/styles.xml><?xml version="1.0" encoding="utf-8"?>
<styleSheet xmlns="http://schemas.openxmlformats.org/spreadsheetml/2006/main">
  <numFmts count="14">
    <numFmt numFmtId="164" formatCode="d/m/yyyy"/>
    <numFmt numFmtId="165" formatCode="_(* #,##0.00_);_(* \(#,##0.00\);_(* \-??_);_(@_)"/>
    <numFmt numFmtId="166" formatCode="#."/>
    <numFmt numFmtId="167" formatCode="#\,"/>
    <numFmt numFmtId="168" formatCode="&quot; R$ &quot;* #,##0.00\ ;&quot;-R$ &quot;* #,##0.00\ ;&quot; R$ &quot;* \-#\ ;@\ "/>
    <numFmt numFmtId="169" formatCode="_(&quot;R$ &quot;* #,##0.00_);_(&quot;R$ &quot;* \(#,##0.00\);_(&quot;R$ &quot;* \-??_);_(@_)"/>
    <numFmt numFmtId="170" formatCode="_(&quot;R$&quot;* #,##0.00_);_(&quot;R$&quot;* \(#,##0.00\);_(&quot;R$&quot;* \-??_);_(@_)"/>
    <numFmt numFmtId="171" formatCode="_-&quot;R$ &quot;* #,##0.00_-;&quot;-R$ &quot;* #,##0.00_-;_-&quot;R$ &quot;* \-??_-;_-@_-"/>
    <numFmt numFmtId="172" formatCode="&quot; R$ &quot;* #,##0.00\ ;&quot; R$ &quot;* \(#,##0.00\);&quot; R$ &quot;* \-#\ ;@\ "/>
    <numFmt numFmtId="173" formatCode="&quot; $&quot;* #,##0.00\ ;&quot; $&quot;* \(#,##0.00\);&quot; $&quot;* \-#\ ;@\ "/>
    <numFmt numFmtId="174" formatCode="[$R$-416]* #,##0.00\ ;\-[$R$-416]* #,##0.00\ ;[$R$-416]* \-#\ ;@\ "/>
    <numFmt numFmtId="175" formatCode="* #,##0.00\ ;\-* #,##0.00\ ;* \-#\ ;@\ "/>
    <numFmt numFmtId="176" formatCode="_-* #,##0.00_-;\-* #,##0.00_-;_-* \-??_-;_-@_-"/>
    <numFmt numFmtId="177" formatCode="* #,##0.00\ ;* \(#,##0.00\);* \-#\ ;@\ "/>
  </numFmts>
  <fonts count="67">
    <font>
      <sz val="10"/>
      <name val="Arial"/>
      <family val="2"/>
    </font>
    <font>
      <sz val="10"/>
      <name val="Arial"/>
      <family val="2"/>
      <charset val="1"/>
    </font>
    <font>
      <sz val="10"/>
      <color indexed="8"/>
      <name val="Arial"/>
      <family val="2"/>
      <charset val="1"/>
    </font>
    <font>
      <b/>
      <sz val="14"/>
      <color indexed="9"/>
      <name val="Arial"/>
      <family val="2"/>
      <charset val="1"/>
    </font>
    <font>
      <b/>
      <sz val="10"/>
      <color indexed="8"/>
      <name val="Arial"/>
      <family val="2"/>
      <charset val="1"/>
    </font>
    <font>
      <sz val="10"/>
      <name val="Calibri"/>
      <family val="2"/>
      <charset val="1"/>
    </font>
    <font>
      <b/>
      <sz val="14"/>
      <color indexed="9"/>
      <name val="Calibri"/>
      <family val="2"/>
      <charset val="1"/>
    </font>
    <font>
      <b/>
      <sz val="10"/>
      <color indexed="8"/>
      <name val="Calibri"/>
      <family val="2"/>
      <charset val="1"/>
    </font>
    <font>
      <b/>
      <sz val="11"/>
      <color indexed="9"/>
      <name val="Calibri"/>
      <family val="2"/>
      <charset val="1"/>
    </font>
    <font>
      <b/>
      <sz val="9"/>
      <color indexed="9"/>
      <name val="Arial"/>
      <family val="2"/>
      <charset val="1"/>
    </font>
    <font>
      <sz val="11"/>
      <name val="Calibri"/>
      <family val="2"/>
      <charset val="1"/>
    </font>
    <font>
      <sz val="9"/>
      <name val="Arial"/>
      <family val="2"/>
      <charset val="1"/>
    </font>
    <font>
      <sz val="6"/>
      <color indexed="8"/>
      <name val="Arial"/>
      <family val="2"/>
      <charset val="1"/>
    </font>
    <font>
      <sz val="10"/>
      <color indexed="8"/>
      <name val="Calibri"/>
      <family val="2"/>
      <charset val="1"/>
    </font>
    <font>
      <b/>
      <sz val="11"/>
      <color indexed="8"/>
      <name val="Calibri"/>
      <family val="2"/>
      <charset val="1"/>
    </font>
    <font>
      <b/>
      <sz val="12"/>
      <color indexed="8"/>
      <name val="Calibri"/>
      <family val="2"/>
      <charset val="1"/>
    </font>
    <font>
      <b/>
      <sz val="10"/>
      <name val="Arial"/>
      <family val="2"/>
      <charset val="1"/>
    </font>
    <font>
      <sz val="11"/>
      <name val="Arial"/>
      <family val="2"/>
      <charset val="1"/>
    </font>
    <font>
      <sz val="11"/>
      <color indexed="8"/>
      <name val="Arial"/>
      <family val="2"/>
      <charset val="1"/>
    </font>
    <font>
      <sz val="11"/>
      <color indexed="8"/>
      <name val="Calibri"/>
      <family val="2"/>
      <charset val="1"/>
    </font>
    <font>
      <sz val="11"/>
      <color indexed="9"/>
      <name val="Calibri"/>
      <family val="2"/>
      <charset val="1"/>
    </font>
    <font>
      <sz val="10"/>
      <color indexed="9"/>
      <name val="Arial"/>
      <family val="2"/>
      <charset val="1"/>
    </font>
    <font>
      <sz val="11"/>
      <color indexed="20"/>
      <name val="Calibri"/>
      <family val="2"/>
      <charset val="1"/>
    </font>
    <font>
      <sz val="10"/>
      <color indexed="16"/>
      <name val="Arial"/>
      <family val="2"/>
      <charset val="1"/>
    </font>
    <font>
      <sz val="11"/>
      <color indexed="17"/>
      <name val="Calibri"/>
      <family val="2"/>
      <charset val="1"/>
    </font>
    <font>
      <sz val="10"/>
      <color indexed="58"/>
      <name val="Arial"/>
      <family val="2"/>
      <charset val="1"/>
    </font>
    <font>
      <b/>
      <sz val="11"/>
      <color indexed="52"/>
      <name val="Calibri"/>
      <family val="2"/>
      <charset val="1"/>
    </font>
    <font>
      <sz val="9"/>
      <color indexed="10"/>
      <name val="Geneva"/>
      <family val="2"/>
      <charset val="1"/>
    </font>
    <font>
      <sz val="11"/>
      <color indexed="52"/>
      <name val="Calibri"/>
      <family val="2"/>
      <charset val="1"/>
    </font>
    <font>
      <sz val="1"/>
      <color indexed="16"/>
      <name val="Courier New"/>
      <family val="3"/>
      <charset val="1"/>
    </font>
    <font>
      <sz val="11"/>
      <color indexed="62"/>
      <name val="Calibri"/>
      <family val="2"/>
      <charset val="1"/>
    </font>
    <font>
      <b/>
      <sz val="10"/>
      <color indexed="9"/>
      <name val="Arial"/>
      <family val="2"/>
      <charset val="1"/>
    </font>
    <font>
      <i/>
      <sz val="11"/>
      <color indexed="23"/>
      <name val="Calibri"/>
      <family val="2"/>
      <charset val="1"/>
    </font>
    <font>
      <i/>
      <sz val="10"/>
      <color indexed="23"/>
      <name val="Arial"/>
      <family val="2"/>
      <charset val="1"/>
    </font>
    <font>
      <b/>
      <sz val="15"/>
      <color indexed="56"/>
      <name val="Calibri"/>
      <family val="2"/>
      <charset val="1"/>
    </font>
    <font>
      <sz val="18"/>
      <color indexed="8"/>
      <name val="Arial"/>
      <family val="2"/>
      <charset val="1"/>
    </font>
    <font>
      <b/>
      <sz val="13"/>
      <color indexed="56"/>
      <name val="Calibri"/>
      <family val="2"/>
      <charset val="1"/>
    </font>
    <font>
      <sz val="12"/>
      <color indexed="8"/>
      <name val="Arial"/>
      <family val="2"/>
      <charset val="1"/>
    </font>
    <font>
      <b/>
      <sz val="11"/>
      <color indexed="56"/>
      <name val="Calibri"/>
      <family val="2"/>
      <charset val="1"/>
    </font>
    <font>
      <b/>
      <sz val="24"/>
      <color indexed="8"/>
      <name val="Arial"/>
      <family val="2"/>
      <charset val="1"/>
    </font>
    <font>
      <u/>
      <sz val="11"/>
      <color indexed="12"/>
      <name val="Calibri"/>
      <family val="2"/>
      <charset val="1"/>
    </font>
    <font>
      <sz val="11"/>
      <color indexed="60"/>
      <name val="Calibri"/>
      <family val="2"/>
      <charset val="1"/>
    </font>
    <font>
      <sz val="10"/>
      <color indexed="19"/>
      <name val="Arial"/>
      <family val="2"/>
      <charset val="1"/>
    </font>
    <font>
      <sz val="10"/>
      <name val="Arial"/>
      <family val="2"/>
    </font>
    <font>
      <sz val="8"/>
      <name val="Arial"/>
      <family val="2"/>
      <charset val="1"/>
    </font>
    <font>
      <sz val="10"/>
      <color indexed="63"/>
      <name val="Arial"/>
      <family val="2"/>
      <charset val="1"/>
    </font>
    <font>
      <b/>
      <sz val="11"/>
      <color indexed="63"/>
      <name val="Calibri"/>
      <family val="2"/>
      <charset val="1"/>
    </font>
    <font>
      <sz val="1"/>
      <color indexed="18"/>
      <name val="Courier New"/>
      <family val="3"/>
      <charset val="1"/>
    </font>
    <font>
      <sz val="10"/>
      <name val="Mangal"/>
      <family val="2"/>
      <charset val="1"/>
    </font>
    <font>
      <sz val="11"/>
      <color indexed="10"/>
      <name val="Calibri"/>
      <family val="2"/>
      <charset val="1"/>
    </font>
    <font>
      <b/>
      <sz val="18"/>
      <color indexed="56"/>
      <name val="Cambria"/>
      <family val="2"/>
      <charset val="1"/>
    </font>
    <font>
      <b/>
      <sz val="15"/>
      <color indexed="62"/>
      <name val="Calibri"/>
      <family val="2"/>
      <charset val="1"/>
    </font>
    <font>
      <b/>
      <sz val="18"/>
      <color indexed="56"/>
      <name val="Calibri Light"/>
      <family val="2"/>
      <charset val="1"/>
    </font>
    <font>
      <b/>
      <sz val="1"/>
      <color indexed="16"/>
      <name val="Courier New"/>
      <family val="3"/>
      <charset val="1"/>
    </font>
    <font>
      <b/>
      <sz val="24"/>
      <name val="Calibri"/>
      <family val="2"/>
    </font>
    <font>
      <sz val="20"/>
      <name val="Calibri"/>
      <family val="2"/>
    </font>
    <font>
      <b/>
      <sz val="18"/>
      <color indexed="9"/>
      <name val="Arial"/>
      <family val="2"/>
      <charset val="1"/>
    </font>
    <font>
      <sz val="9"/>
      <color indexed="8"/>
      <name val="Arial"/>
      <family val="2"/>
      <charset val="1"/>
    </font>
    <font>
      <b/>
      <sz val="9"/>
      <name val="Arial"/>
      <family val="2"/>
      <charset val="1"/>
    </font>
    <font>
      <b/>
      <sz val="9"/>
      <color indexed="8"/>
      <name val="Arial"/>
      <family val="2"/>
      <charset val="1"/>
    </font>
    <font>
      <sz val="8"/>
      <name val="Calibri"/>
      <family val="2"/>
    </font>
    <font>
      <b/>
      <sz val="14"/>
      <name val="Calibri"/>
      <family val="2"/>
    </font>
    <font>
      <b/>
      <sz val="8"/>
      <name val="Calibri"/>
      <family val="2"/>
    </font>
    <font>
      <b/>
      <sz val="8"/>
      <color indexed="8"/>
      <name val="Calibri"/>
      <family val="2"/>
    </font>
    <font>
      <b/>
      <sz val="8"/>
      <color indexed="22"/>
      <name val="Calibri"/>
      <family val="2"/>
    </font>
    <font>
      <sz val="11"/>
      <color rgb="FFFF0000"/>
      <name val="Calibri"/>
      <family val="2"/>
      <charset val="1"/>
    </font>
    <font>
      <sz val="9"/>
      <color rgb="FFFF0000"/>
      <name val="Arial"/>
      <family val="2"/>
      <charset val="1"/>
    </font>
  </fonts>
  <fills count="36">
    <fill>
      <patternFill patternType="none"/>
    </fill>
    <fill>
      <patternFill patternType="gray125"/>
    </fill>
    <fill>
      <patternFill patternType="solid">
        <fgColor indexed="12"/>
        <bgColor indexed="39"/>
      </patternFill>
    </fill>
    <fill>
      <patternFill patternType="solid">
        <fgColor indexed="48"/>
        <bgColor indexed="30"/>
      </patternFill>
    </fill>
    <fill>
      <patternFill patternType="solid">
        <fgColor indexed="40"/>
        <bgColor indexed="49"/>
      </patternFill>
    </fill>
    <fill>
      <patternFill patternType="solid">
        <fgColor indexed="27"/>
        <bgColor indexed="42"/>
      </patternFill>
    </fill>
    <fill>
      <patternFill patternType="solid">
        <fgColor indexed="43"/>
        <bgColor indexed="26"/>
      </patternFill>
    </fill>
    <fill>
      <patternFill patternType="solid">
        <fgColor indexed="9"/>
        <bgColor indexed="26"/>
      </patternFill>
    </fill>
    <fill>
      <patternFill patternType="solid">
        <fgColor indexed="31"/>
        <bgColor indexed="41"/>
      </patternFill>
    </fill>
    <fill>
      <patternFill patternType="solid">
        <fgColor indexed="45"/>
        <bgColor indexed="29"/>
      </patternFill>
    </fill>
    <fill>
      <patternFill patternType="solid">
        <fgColor indexed="47"/>
        <bgColor indexed="41"/>
      </patternFill>
    </fill>
    <fill>
      <patternFill patternType="solid">
        <fgColor indexed="42"/>
        <bgColor indexed="27"/>
      </patternFill>
    </fill>
    <fill>
      <patternFill patternType="solid">
        <fgColor indexed="41"/>
        <bgColor indexed="31"/>
      </patternFill>
    </fill>
    <fill>
      <patternFill patternType="solid">
        <fgColor indexed="46"/>
        <bgColor indexed="24"/>
      </patternFill>
    </fill>
    <fill>
      <patternFill patternType="solid">
        <fgColor indexed="25"/>
        <bgColor indexed="55"/>
      </patternFill>
    </fill>
    <fill>
      <patternFill patternType="solid">
        <fgColor indexed="44"/>
        <bgColor indexed="31"/>
      </patternFill>
    </fill>
    <fill>
      <patternFill patternType="solid">
        <fgColor indexed="34"/>
        <bgColor indexed="22"/>
      </patternFill>
    </fill>
    <fill>
      <patternFill patternType="solid">
        <fgColor indexed="29"/>
        <bgColor indexed="45"/>
      </patternFill>
    </fill>
    <fill>
      <patternFill patternType="solid">
        <fgColor indexed="11"/>
        <bgColor indexed="49"/>
      </patternFill>
    </fill>
    <fill>
      <patternFill patternType="solid">
        <fgColor indexed="22"/>
        <bgColor indexed="34"/>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0"/>
      </patternFill>
    </fill>
    <fill>
      <patternFill patternType="solid">
        <fgColor indexed="8"/>
        <bgColor indexed="58"/>
      </patternFill>
    </fill>
    <fill>
      <patternFill patternType="solid">
        <fgColor indexed="23"/>
        <bgColor indexed="55"/>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5"/>
        <bgColor indexed="25"/>
      </patternFill>
    </fill>
    <fill>
      <patternFill patternType="solid">
        <fgColor indexed="53"/>
        <bgColor indexed="52"/>
      </patternFill>
    </fill>
    <fill>
      <patternFill patternType="solid">
        <fgColor indexed="24"/>
        <bgColor indexed="46"/>
      </patternFill>
    </fill>
    <fill>
      <patternFill patternType="solid">
        <fgColor indexed="16"/>
        <bgColor indexed="37"/>
      </patternFill>
    </fill>
    <fill>
      <patternFill patternType="solid">
        <fgColor indexed="26"/>
        <bgColor indexed="9"/>
      </patternFill>
    </fill>
    <fill>
      <patternFill patternType="solid">
        <fgColor rgb="FFFFFF00"/>
        <bgColor indexed="64"/>
      </patternFill>
    </fill>
  </fills>
  <borders count="77">
    <border>
      <left/>
      <right/>
      <top/>
      <bottom/>
      <diagonal/>
    </border>
    <border>
      <left/>
      <right/>
      <top style="medium">
        <color indexed="8"/>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
      <left/>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medium">
        <color indexed="8"/>
      </top>
      <bottom/>
      <diagonal/>
    </border>
    <border>
      <left style="thin">
        <color indexed="8"/>
      </left>
      <right style="thin">
        <color indexed="8"/>
      </right>
      <top style="thin">
        <color indexed="8"/>
      </top>
      <bottom style="thin">
        <color indexed="8"/>
      </bottom>
      <diagonal/>
    </border>
    <border>
      <left/>
      <right style="thin">
        <color indexed="8"/>
      </right>
      <top/>
      <bottom/>
      <diagonal/>
    </border>
    <border>
      <left style="medium">
        <color indexed="8"/>
      </left>
      <right style="medium">
        <color indexed="8"/>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style="thin">
        <color indexed="8"/>
      </top>
      <bottom/>
      <diagonal/>
    </border>
    <border>
      <left style="medium">
        <color indexed="8"/>
      </left>
      <right style="thin">
        <color indexed="8"/>
      </right>
      <top style="thin">
        <color indexed="8"/>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8"/>
      </right>
      <top/>
      <bottom style="medium">
        <color indexed="8"/>
      </bottom>
      <diagonal/>
    </border>
    <border>
      <left style="medium">
        <color indexed="8"/>
      </left>
      <right style="medium">
        <color indexed="64"/>
      </right>
      <top/>
      <bottom style="medium">
        <color indexed="8"/>
      </bottom>
      <diagonal/>
    </border>
    <border>
      <left style="medium">
        <color indexed="64"/>
      </left>
      <right style="medium">
        <color indexed="8"/>
      </right>
      <top style="medium">
        <color indexed="8"/>
      </top>
      <bottom/>
      <diagonal/>
    </border>
    <border>
      <left style="medium">
        <color indexed="8"/>
      </left>
      <right style="medium">
        <color indexed="64"/>
      </right>
      <top style="medium">
        <color indexed="8"/>
      </top>
      <bottom/>
      <diagonal/>
    </border>
    <border>
      <left style="medium">
        <color indexed="64"/>
      </left>
      <right/>
      <top style="medium">
        <color indexed="8"/>
      </top>
      <bottom style="medium">
        <color indexed="8"/>
      </bottom>
      <diagonal/>
    </border>
    <border>
      <left/>
      <right style="medium">
        <color indexed="64"/>
      </right>
      <top style="medium">
        <color indexed="8"/>
      </top>
      <bottom style="medium">
        <color indexed="8"/>
      </bottom>
      <diagonal/>
    </border>
    <border>
      <left style="medium">
        <color indexed="64"/>
      </left>
      <right style="medium">
        <color indexed="8"/>
      </right>
      <top style="medium">
        <color indexed="8"/>
      </top>
      <bottom style="thin">
        <color indexed="8"/>
      </bottom>
      <diagonal/>
    </border>
    <border>
      <left style="medium">
        <color indexed="8"/>
      </left>
      <right style="medium">
        <color indexed="64"/>
      </right>
      <top style="medium">
        <color indexed="8"/>
      </top>
      <bottom style="thin">
        <color indexed="8"/>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8"/>
      </right>
      <top style="medium">
        <color indexed="8"/>
      </top>
      <bottom/>
      <diagonal/>
    </border>
    <border>
      <left style="thin">
        <color indexed="8"/>
      </left>
      <right style="medium">
        <color indexed="64"/>
      </right>
      <top style="medium">
        <color indexed="8"/>
      </top>
      <bottom/>
      <diagonal/>
    </border>
    <border>
      <left style="medium">
        <color indexed="64"/>
      </left>
      <right style="thin">
        <color indexed="8"/>
      </right>
      <top style="thin">
        <color indexed="8"/>
      </top>
      <bottom style="thin">
        <color indexed="8"/>
      </bottom>
      <diagonal/>
    </border>
    <border>
      <left style="medium">
        <color indexed="64"/>
      </left>
      <right/>
      <top/>
      <bottom/>
      <diagonal/>
    </border>
    <border>
      <left/>
      <right style="medium">
        <color indexed="64"/>
      </right>
      <top/>
      <bottom/>
      <diagonal/>
    </border>
    <border>
      <left style="medium">
        <color indexed="64"/>
      </left>
      <right style="medium">
        <color indexed="8"/>
      </right>
      <top/>
      <bottom/>
      <diagonal/>
    </border>
    <border>
      <left style="medium">
        <color indexed="8"/>
      </left>
      <right style="medium">
        <color indexed="64"/>
      </right>
      <top/>
      <bottom/>
      <diagonal/>
    </border>
    <border>
      <left style="medium">
        <color indexed="64"/>
      </left>
      <right style="medium">
        <color indexed="8"/>
      </right>
      <top/>
      <bottom style="medium">
        <color indexed="64"/>
      </bottom>
      <diagonal/>
    </border>
    <border>
      <left style="medium">
        <color indexed="8"/>
      </left>
      <right style="medium">
        <color indexed="8"/>
      </right>
      <top/>
      <bottom style="medium">
        <color indexed="64"/>
      </bottom>
      <diagonal/>
    </border>
    <border>
      <left style="medium">
        <color indexed="8"/>
      </left>
      <right style="medium">
        <color indexed="64"/>
      </right>
      <top/>
      <bottom style="medium">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thin">
        <color indexed="8"/>
      </left>
      <right style="medium">
        <color indexed="64"/>
      </right>
      <top/>
      <bottom style="thin">
        <color indexed="8"/>
      </bottom>
      <diagonal/>
    </border>
    <border>
      <left style="medium">
        <color indexed="64"/>
      </left>
      <right style="thin">
        <color indexed="8"/>
      </right>
      <top/>
      <bottom style="thin">
        <color indexed="8"/>
      </bottom>
      <diagonal/>
    </border>
    <border>
      <left style="thin">
        <color indexed="8"/>
      </left>
      <right style="thin">
        <color indexed="8"/>
      </right>
      <top style="thin">
        <color indexed="64"/>
      </top>
      <bottom style="thin">
        <color indexed="8"/>
      </bottom>
      <diagonal/>
    </border>
    <border>
      <left style="medium">
        <color indexed="8"/>
      </left>
      <right style="medium">
        <color indexed="8"/>
      </right>
      <top style="thin">
        <color indexed="8"/>
      </top>
      <bottom style="thin">
        <color indexed="64"/>
      </bottom>
      <diagonal/>
    </border>
    <border>
      <left style="medium">
        <color indexed="64"/>
      </left>
      <right style="thin">
        <color indexed="8"/>
      </right>
      <top style="thin">
        <color indexed="64"/>
      </top>
      <bottom style="thin">
        <color indexed="8"/>
      </bottom>
      <diagonal/>
    </border>
    <border>
      <left style="thin">
        <color indexed="8"/>
      </left>
      <right style="medium">
        <color indexed="64"/>
      </right>
      <top style="thin">
        <color indexed="64"/>
      </top>
      <bottom style="thin">
        <color indexed="8"/>
      </bottom>
      <diagonal/>
    </border>
    <border>
      <left style="medium">
        <color indexed="64"/>
      </left>
      <right style="medium">
        <color indexed="8"/>
      </right>
      <top style="thin">
        <color indexed="8"/>
      </top>
      <bottom style="thin">
        <color indexed="64"/>
      </bottom>
      <diagonal/>
    </border>
    <border>
      <left style="medium">
        <color indexed="8"/>
      </left>
      <right style="medium">
        <color indexed="64"/>
      </right>
      <top style="thin">
        <color indexed="8"/>
      </top>
      <bottom style="thin">
        <color indexed="64"/>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top/>
      <bottom/>
      <diagonal/>
    </border>
    <border>
      <left/>
      <right style="hair">
        <color indexed="8"/>
      </right>
      <top/>
      <bottom/>
      <diagonal/>
    </border>
    <border>
      <left style="hair">
        <color indexed="8"/>
      </left>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hair">
        <color indexed="8"/>
      </right>
      <top/>
      <bottom style="hair">
        <color indexed="8"/>
      </bottom>
      <diagonal/>
    </border>
    <border>
      <left style="hair">
        <color indexed="8"/>
      </left>
      <right style="hair">
        <color indexed="8"/>
      </right>
      <top style="thin">
        <color indexed="8"/>
      </top>
      <bottom/>
      <diagonal/>
    </border>
    <border>
      <left style="hair">
        <color indexed="8"/>
      </left>
      <right style="hair">
        <color indexed="8"/>
      </right>
      <top style="hair">
        <color indexed="8"/>
      </top>
      <bottom style="hair">
        <color indexed="8"/>
      </bottom>
      <diagonal/>
    </border>
    <border>
      <left/>
      <right/>
      <top style="thin">
        <color indexed="8"/>
      </top>
      <bottom/>
      <diagonal/>
    </border>
    <border>
      <left/>
      <right style="hair">
        <color indexed="8"/>
      </right>
      <top style="thin">
        <color indexed="8"/>
      </top>
      <bottom/>
      <diagonal/>
    </border>
    <border>
      <left style="hair">
        <color indexed="8"/>
      </left>
      <right/>
      <top/>
      <bottom style="hair">
        <color indexed="8"/>
      </bottom>
      <diagonal/>
    </border>
    <border>
      <left/>
      <right/>
      <top/>
      <bottom style="hair">
        <color indexed="8"/>
      </bottom>
      <diagonal/>
    </border>
    <border>
      <left/>
      <right style="hair">
        <color indexed="8"/>
      </right>
      <top/>
      <bottom style="hair">
        <color indexed="8"/>
      </bottom>
      <diagonal/>
    </border>
  </borders>
  <cellStyleXfs count="492">
    <xf numFmtId="0" fontId="0" fillId="0" borderId="0"/>
    <xf numFmtId="165" fontId="1" fillId="0" borderId="0" applyBorder="0" applyProtection="0"/>
    <xf numFmtId="0" fontId="1" fillId="0" borderId="0"/>
    <xf numFmtId="0" fontId="1" fillId="0" borderId="0"/>
    <xf numFmtId="0" fontId="19" fillId="8" borderId="0" applyBorder="0" applyProtection="0"/>
    <xf numFmtId="0" fontId="19" fillId="8" borderId="0" applyBorder="0" applyProtection="0"/>
    <xf numFmtId="0" fontId="19" fillId="5" borderId="0" applyBorder="0" applyProtection="0"/>
    <xf numFmtId="0" fontId="19" fillId="9" borderId="0" applyBorder="0" applyProtection="0"/>
    <xf numFmtId="0" fontId="19" fillId="9" borderId="0" applyBorder="0" applyProtection="0"/>
    <xf numFmtId="0" fontId="19" fillId="10" borderId="0" applyBorder="0" applyProtection="0"/>
    <xf numFmtId="0" fontId="19" fillId="11" borderId="0" applyBorder="0" applyProtection="0"/>
    <xf numFmtId="0" fontId="19" fillId="12" borderId="0" applyBorder="0" applyProtection="0"/>
    <xf numFmtId="0" fontId="19" fillId="7" borderId="0" applyBorder="0" applyProtection="0"/>
    <xf numFmtId="0" fontId="19" fillId="13" borderId="0" applyBorder="0" applyProtection="0"/>
    <xf numFmtId="0" fontId="19" fillId="14" borderId="0" applyBorder="0" applyProtection="0"/>
    <xf numFmtId="0" fontId="19" fillId="14" borderId="0" applyBorder="0" applyProtection="0"/>
    <xf numFmtId="0" fontId="19" fillId="5" borderId="0" applyBorder="0" applyProtection="0"/>
    <xf numFmtId="0" fontId="19" fillId="5" borderId="0" applyBorder="0" applyProtection="0"/>
    <xf numFmtId="0" fontId="19" fillId="8" borderId="0" applyBorder="0" applyProtection="0"/>
    <xf numFmtId="0" fontId="19" fillId="10" borderId="0" applyBorder="0" applyProtection="0"/>
    <xf numFmtId="0" fontId="19" fillId="10" borderId="0" applyBorder="0" applyProtection="0"/>
    <xf numFmtId="0" fontId="19" fillId="10" borderId="0" applyBorder="0" applyProtection="0"/>
    <xf numFmtId="0" fontId="19" fillId="8" borderId="0" applyBorder="0" applyProtection="0"/>
    <xf numFmtId="0" fontId="19" fillId="8" borderId="0" applyBorder="0" applyProtection="0"/>
    <xf numFmtId="0" fontId="19" fillId="8" borderId="0" applyBorder="0" applyProtection="0"/>
    <xf numFmtId="0" fontId="19" fillId="8" borderId="0" applyBorder="0" applyProtection="0"/>
    <xf numFmtId="0" fontId="19" fillId="9" borderId="0" applyBorder="0" applyProtection="0"/>
    <xf numFmtId="0" fontId="19" fillId="9" borderId="0" applyBorder="0" applyProtection="0"/>
    <xf numFmtId="0" fontId="19" fillId="9" borderId="0" applyBorder="0" applyProtection="0"/>
    <xf numFmtId="0" fontId="19" fillId="9" borderId="0" applyBorder="0" applyProtection="0"/>
    <xf numFmtId="0" fontId="19" fillId="11" borderId="0" applyBorder="0" applyProtection="0"/>
    <xf numFmtId="0" fontId="19" fillId="11" borderId="0" applyBorder="0" applyProtection="0"/>
    <xf numFmtId="0" fontId="19" fillId="11" borderId="0" applyBorder="0" applyProtection="0"/>
    <xf numFmtId="0" fontId="19" fillId="11" borderId="0" applyBorder="0" applyProtection="0"/>
    <xf numFmtId="0" fontId="19" fillId="13" borderId="0" applyBorder="0" applyProtection="0"/>
    <xf numFmtId="0" fontId="19" fillId="13" borderId="0" applyBorder="0" applyProtection="0"/>
    <xf numFmtId="0" fontId="19" fillId="13" borderId="0" applyBorder="0" applyProtection="0"/>
    <xf numFmtId="0" fontId="19" fillId="13" borderId="0" applyBorder="0" applyProtection="0"/>
    <xf numFmtId="0" fontId="19" fillId="5" borderId="0" applyBorder="0" applyProtection="0"/>
    <xf numFmtId="0" fontId="19" fillId="5" borderId="0" applyBorder="0" applyProtection="0"/>
    <xf numFmtId="0" fontId="19" fillId="5" borderId="0" applyBorder="0" applyProtection="0"/>
    <xf numFmtId="0" fontId="19" fillId="5" borderId="0" applyBorder="0" applyProtection="0"/>
    <xf numFmtId="0" fontId="19" fillId="10" borderId="0" applyBorder="0" applyProtection="0"/>
    <xf numFmtId="0" fontId="19" fillId="10" borderId="0" applyBorder="0" applyProtection="0"/>
    <xf numFmtId="0" fontId="19" fillId="10" borderId="0" applyBorder="0" applyProtection="0"/>
    <xf numFmtId="0" fontId="19" fillId="10" borderId="0" applyBorder="0" applyProtection="0"/>
    <xf numFmtId="0" fontId="19" fillId="15" borderId="0" applyBorder="0" applyProtection="0"/>
    <xf numFmtId="0" fontId="19" fillId="16" borderId="0" applyBorder="0" applyProtection="0"/>
    <xf numFmtId="0" fontId="19" fillId="16" borderId="0" applyBorder="0" applyProtection="0"/>
    <xf numFmtId="0" fontId="19" fillId="17" borderId="0" applyBorder="0" applyProtection="0"/>
    <xf numFmtId="0" fontId="19" fillId="17" borderId="0" applyBorder="0" applyProtection="0"/>
    <xf numFmtId="0" fontId="19" fillId="10" borderId="0" applyBorder="0" applyProtection="0"/>
    <xf numFmtId="0" fontId="19" fillId="18" borderId="0" applyBorder="0" applyProtection="0"/>
    <xf numFmtId="0" fontId="19" fillId="18" borderId="0" applyBorder="0" applyProtection="0"/>
    <xf numFmtId="0" fontId="19" fillId="19" borderId="0" applyBorder="0" applyProtection="0"/>
    <xf numFmtId="0" fontId="19" fillId="13" borderId="0" applyBorder="0" applyProtection="0"/>
    <xf numFmtId="0" fontId="19" fillId="14" borderId="0" applyBorder="0" applyProtection="0"/>
    <xf numFmtId="0" fontId="19" fillId="14" borderId="0" applyBorder="0" applyProtection="0"/>
    <xf numFmtId="0" fontId="19" fillId="15" borderId="0" applyBorder="0" applyProtection="0"/>
    <xf numFmtId="0" fontId="19" fillId="16" borderId="0" applyBorder="0" applyProtection="0"/>
    <xf numFmtId="0" fontId="19" fillId="16" borderId="0" applyBorder="0" applyProtection="0"/>
    <xf numFmtId="0" fontId="19" fillId="20" borderId="0" applyBorder="0" applyProtection="0"/>
    <xf numFmtId="0" fontId="19" fillId="20" borderId="0" applyBorder="0" applyProtection="0"/>
    <xf numFmtId="0" fontId="19" fillId="20" borderId="0" applyBorder="0" applyProtection="0"/>
    <xf numFmtId="0" fontId="19" fillId="15" borderId="0" applyBorder="0" applyProtection="0"/>
    <xf numFmtId="0" fontId="19" fillId="15" borderId="0" applyBorder="0" applyProtection="0"/>
    <xf numFmtId="0" fontId="19" fillId="15" borderId="0" applyBorder="0" applyProtection="0"/>
    <xf numFmtId="0" fontId="19" fillId="15" borderId="0" applyBorder="0" applyProtection="0"/>
    <xf numFmtId="0" fontId="19" fillId="17" borderId="0" applyBorder="0" applyProtection="0"/>
    <xf numFmtId="0" fontId="19" fillId="17" borderId="0" applyBorder="0" applyProtection="0"/>
    <xf numFmtId="0" fontId="19" fillId="17" borderId="0" applyBorder="0" applyProtection="0"/>
    <xf numFmtId="0" fontId="19" fillId="17" borderId="0" applyBorder="0" applyProtection="0"/>
    <xf numFmtId="0" fontId="19" fillId="18" borderId="0" applyBorder="0" applyProtection="0"/>
    <xf numFmtId="0" fontId="19" fillId="18" borderId="0" applyBorder="0" applyProtection="0"/>
    <xf numFmtId="0" fontId="19" fillId="18" borderId="0" applyBorder="0" applyProtection="0"/>
    <xf numFmtId="0" fontId="19" fillId="18" borderId="0" applyBorder="0" applyProtection="0"/>
    <xf numFmtId="0" fontId="19" fillId="13" borderId="0" applyBorder="0" applyProtection="0"/>
    <xf numFmtId="0" fontId="19" fillId="13" borderId="0" applyBorder="0" applyProtection="0"/>
    <xf numFmtId="0" fontId="19" fillId="13" borderId="0" applyBorder="0" applyProtection="0"/>
    <xf numFmtId="0" fontId="19" fillId="13" borderId="0" applyBorder="0" applyProtection="0"/>
    <xf numFmtId="0" fontId="19" fillId="15" borderId="0" applyBorder="0" applyProtection="0"/>
    <xf numFmtId="0" fontId="19" fillId="15" borderId="0" applyBorder="0" applyProtection="0"/>
    <xf numFmtId="0" fontId="19" fillId="15" borderId="0" applyBorder="0" applyProtection="0"/>
    <xf numFmtId="0" fontId="19" fillId="15" borderId="0" applyBorder="0" applyProtection="0"/>
    <xf numFmtId="0" fontId="19" fillId="20" borderId="0" applyBorder="0" applyProtection="0"/>
    <xf numFmtId="0" fontId="19" fillId="20" borderId="0" applyBorder="0" applyProtection="0"/>
    <xf numFmtId="0" fontId="19" fillId="20" borderId="0" applyBorder="0" applyProtection="0"/>
    <xf numFmtId="0" fontId="19" fillId="20" borderId="0" applyBorder="0" applyProtection="0"/>
    <xf numFmtId="0" fontId="20" fillId="21" borderId="0" applyBorder="0" applyProtection="0"/>
    <xf numFmtId="0" fontId="20" fillId="21" borderId="0" applyBorder="0" applyProtection="0"/>
    <xf numFmtId="0" fontId="20" fillId="16" borderId="0" applyBorder="0" applyProtection="0"/>
    <xf numFmtId="0" fontId="20" fillId="17" borderId="0" applyBorder="0" applyProtection="0"/>
    <xf numFmtId="0" fontId="20" fillId="17" borderId="0" applyBorder="0" applyProtection="0"/>
    <xf numFmtId="0" fontId="20" fillId="10" borderId="0" applyBorder="0" applyProtection="0"/>
    <xf numFmtId="0" fontId="20" fillId="18" borderId="0" applyBorder="0" applyProtection="0"/>
    <xf numFmtId="0" fontId="20" fillId="18" borderId="0" applyBorder="0" applyProtection="0"/>
    <xf numFmtId="0" fontId="20" fillId="19" borderId="0" applyBorder="0" applyProtection="0"/>
    <xf numFmtId="0" fontId="20" fillId="22" borderId="0" applyBorder="0" applyProtection="0"/>
    <xf numFmtId="0" fontId="20" fillId="22" borderId="0" applyBorder="0" applyProtection="0"/>
    <xf numFmtId="0" fontId="20" fillId="6" borderId="0" applyBorder="0" applyProtection="0"/>
    <xf numFmtId="0" fontId="20" fillId="23" borderId="0" applyBorder="0" applyProtection="0"/>
    <xf numFmtId="0" fontId="20" fillId="23" borderId="0" applyBorder="0" applyProtection="0"/>
    <xf numFmtId="0" fontId="20" fillId="23" borderId="0" applyBorder="0" applyProtection="0"/>
    <xf numFmtId="0" fontId="20" fillId="24" borderId="0" applyBorder="0" applyProtection="0"/>
    <xf numFmtId="0" fontId="20" fillId="24" borderId="0" applyBorder="0" applyProtection="0"/>
    <xf numFmtId="0" fontId="20" fillId="24" borderId="0" applyBorder="0" applyProtection="0"/>
    <xf numFmtId="0" fontId="20" fillId="21" borderId="0" applyBorder="0" applyProtection="0"/>
    <xf numFmtId="0" fontId="20" fillId="21" borderId="0" applyBorder="0" applyProtection="0"/>
    <xf numFmtId="0" fontId="20" fillId="21" borderId="0" applyBorder="0" applyProtection="0"/>
    <xf numFmtId="0" fontId="20" fillId="21" borderId="0" applyBorder="0" applyProtection="0"/>
    <xf numFmtId="0" fontId="20" fillId="17" borderId="0" applyBorder="0" applyProtection="0"/>
    <xf numFmtId="0" fontId="20" fillId="17" borderId="0" applyBorder="0" applyProtection="0"/>
    <xf numFmtId="0" fontId="20" fillId="17" borderId="0" applyBorder="0" applyProtection="0"/>
    <xf numFmtId="0" fontId="20" fillId="17" borderId="0" applyBorder="0" applyProtection="0"/>
    <xf numFmtId="0" fontId="20" fillId="18" borderId="0" applyBorder="0" applyProtection="0"/>
    <xf numFmtId="0" fontId="20" fillId="18" borderId="0" applyBorder="0" applyProtection="0"/>
    <xf numFmtId="0" fontId="20" fillId="18" borderId="0" applyBorder="0" applyProtection="0"/>
    <xf numFmtId="0" fontId="20" fillId="18" borderId="0" applyBorder="0" applyProtection="0"/>
    <xf numFmtId="0" fontId="20" fillId="22" borderId="0" applyBorder="0" applyProtection="0"/>
    <xf numFmtId="0" fontId="20" fillId="22" borderId="0" applyBorder="0" applyProtection="0"/>
    <xf numFmtId="0" fontId="20" fillId="22" borderId="0" applyBorder="0" applyProtection="0"/>
    <xf numFmtId="0" fontId="20" fillId="22" borderId="0" applyBorder="0" applyProtection="0"/>
    <xf numFmtId="0" fontId="20" fillId="23" borderId="0" applyBorder="0" applyProtection="0"/>
    <xf numFmtId="0" fontId="20" fillId="23" borderId="0" applyBorder="0" applyProtection="0"/>
    <xf numFmtId="0" fontId="20" fillId="23" borderId="0" applyBorder="0" applyProtection="0"/>
    <xf numFmtId="0" fontId="20" fillId="23" borderId="0" applyBorder="0" applyProtection="0"/>
    <xf numFmtId="0" fontId="20" fillId="24" borderId="0" applyBorder="0" applyProtection="0"/>
    <xf numFmtId="0" fontId="20" fillId="24" borderId="0" applyBorder="0" applyProtection="0"/>
    <xf numFmtId="0" fontId="20" fillId="24" borderId="0" applyBorder="0" applyProtection="0"/>
    <xf numFmtId="0" fontId="20" fillId="24" borderId="0" applyBorder="0" applyProtection="0"/>
    <xf numFmtId="0" fontId="21" fillId="25" borderId="0" applyBorder="0" applyProtection="0"/>
    <xf numFmtId="0" fontId="21" fillId="25" borderId="0" applyBorder="0" applyProtection="0"/>
    <xf numFmtId="0" fontId="21" fillId="26" borderId="0" applyBorder="0" applyProtection="0"/>
    <xf numFmtId="0" fontId="21" fillId="26" borderId="0" applyBorder="0" applyProtection="0"/>
    <xf numFmtId="0" fontId="4" fillId="5" borderId="0" applyBorder="0" applyProtection="0"/>
    <xf numFmtId="0" fontId="4" fillId="5" borderId="0" applyBorder="0" applyProtection="0"/>
    <xf numFmtId="0" fontId="4" fillId="0" borderId="0" applyBorder="0" applyProtection="0"/>
    <xf numFmtId="0" fontId="4" fillId="0" borderId="0" applyBorder="0" applyProtection="0"/>
    <xf numFmtId="0" fontId="4" fillId="0" borderId="0" applyBorder="0" applyProtection="0"/>
    <xf numFmtId="0" fontId="20" fillId="27" borderId="0" applyBorder="0" applyProtection="0"/>
    <xf numFmtId="0" fontId="20" fillId="27" borderId="0" applyBorder="0" applyProtection="0"/>
    <xf numFmtId="0" fontId="20" fillId="23" borderId="0" applyBorder="0" applyProtection="0"/>
    <xf numFmtId="0" fontId="20" fillId="28" borderId="0" applyBorder="0" applyProtection="0"/>
    <xf numFmtId="0" fontId="20" fillId="28" borderId="0" applyBorder="0" applyProtection="0"/>
    <xf numFmtId="0" fontId="20" fillId="28" borderId="0" applyBorder="0" applyProtection="0"/>
    <xf numFmtId="0" fontId="20" fillId="29" borderId="0" applyBorder="0" applyProtection="0"/>
    <xf numFmtId="0" fontId="20" fillId="29" borderId="0" applyBorder="0" applyProtection="0"/>
    <xf numFmtId="0" fontId="20" fillId="30" borderId="0" applyBorder="0" applyProtection="0"/>
    <xf numFmtId="0" fontId="20" fillId="22" borderId="0" applyBorder="0" applyProtection="0"/>
    <xf numFmtId="0" fontId="20" fillId="22" borderId="0" applyBorder="0" applyProtection="0"/>
    <xf numFmtId="0" fontId="20" fillId="20" borderId="0" applyBorder="0" applyProtection="0"/>
    <xf numFmtId="0" fontId="20" fillId="23" borderId="0" applyBorder="0" applyProtection="0"/>
    <xf numFmtId="0" fontId="20" fillId="23" borderId="0" applyBorder="0" applyProtection="0"/>
    <xf numFmtId="0" fontId="20" fillId="27" borderId="0" applyBorder="0" applyProtection="0"/>
    <xf numFmtId="0" fontId="20" fillId="31" borderId="0" applyBorder="0" applyProtection="0"/>
    <xf numFmtId="0" fontId="20" fillId="31" borderId="0" applyBorder="0" applyProtection="0"/>
    <xf numFmtId="0" fontId="20" fillId="29" borderId="0" applyBorder="0" applyProtection="0"/>
    <xf numFmtId="0" fontId="22" fillId="9" borderId="0" applyBorder="0" applyProtection="0"/>
    <xf numFmtId="0" fontId="22" fillId="9" borderId="0" applyBorder="0" applyProtection="0"/>
    <xf numFmtId="0" fontId="23" fillId="32" borderId="0" applyBorder="0" applyProtection="0"/>
    <xf numFmtId="0" fontId="22" fillId="9" borderId="0" applyBorder="0" applyProtection="0"/>
    <xf numFmtId="0" fontId="22" fillId="9" borderId="0" applyBorder="0" applyProtection="0"/>
    <xf numFmtId="0" fontId="24" fillId="11" borderId="0" applyBorder="0" applyProtection="0"/>
    <xf numFmtId="0" fontId="24" fillId="11" borderId="0" applyBorder="0" applyProtection="0"/>
    <xf numFmtId="0" fontId="24" fillId="11" borderId="0" applyBorder="0" applyProtection="0"/>
    <xf numFmtId="0" fontId="24" fillId="11" borderId="0" applyBorder="0" applyProtection="0"/>
    <xf numFmtId="0" fontId="25" fillId="12" borderId="0" applyBorder="0" applyProtection="0"/>
    <xf numFmtId="0" fontId="26" fillId="19" borderId="11" applyProtection="0"/>
    <xf numFmtId="0" fontId="26" fillId="19" borderId="11" applyProtection="0"/>
    <xf numFmtId="0" fontId="26" fillId="19" borderId="11" applyProtection="0"/>
    <xf numFmtId="0" fontId="26" fillId="19" borderId="11" applyProtection="0"/>
    <xf numFmtId="0" fontId="26" fillId="19" borderId="11" applyProtection="0"/>
    <xf numFmtId="0" fontId="26" fillId="19" borderId="11" applyProtection="0"/>
    <xf numFmtId="0" fontId="26" fillId="19" borderId="11" applyProtection="0"/>
    <xf numFmtId="0" fontId="26" fillId="19" borderId="11" applyProtection="0"/>
    <xf numFmtId="0" fontId="27" fillId="0" borderId="0"/>
    <xf numFmtId="0" fontId="27" fillId="0" borderId="0"/>
    <xf numFmtId="0" fontId="27" fillId="0" borderId="0"/>
    <xf numFmtId="0" fontId="8" fillId="30" borderId="12" applyProtection="0"/>
    <xf numFmtId="0" fontId="8" fillId="30" borderId="12" applyProtection="0"/>
    <xf numFmtId="0" fontId="8" fillId="30" borderId="12" applyProtection="0"/>
    <xf numFmtId="0" fontId="8" fillId="30" borderId="12" applyProtection="0"/>
    <xf numFmtId="0" fontId="8" fillId="30" borderId="12" applyProtection="0"/>
    <xf numFmtId="0" fontId="28" fillId="0" borderId="13" applyProtection="0"/>
    <xf numFmtId="0" fontId="28" fillId="0" borderId="13" applyProtection="0"/>
    <xf numFmtId="0" fontId="28" fillId="0" borderId="13" applyProtection="0"/>
    <xf numFmtId="0" fontId="28" fillId="0" borderId="13" applyProtection="0"/>
    <xf numFmtId="0" fontId="28" fillId="0" borderId="13" applyProtection="0"/>
    <xf numFmtId="0" fontId="28" fillId="0" borderId="13" applyProtection="0"/>
    <xf numFmtId="0" fontId="8" fillId="30" borderId="12" applyProtection="0"/>
    <xf numFmtId="0" fontId="8" fillId="30" borderId="12" applyProtection="0"/>
    <xf numFmtId="0" fontId="8" fillId="30" borderId="12" applyProtection="0"/>
    <xf numFmtId="166" fontId="29" fillId="0" borderId="0">
      <protection locked="0"/>
    </xf>
    <xf numFmtId="167" fontId="29" fillId="0" borderId="0">
      <protection locked="0"/>
    </xf>
    <xf numFmtId="167" fontId="29" fillId="0" borderId="0">
      <protection locked="0"/>
    </xf>
    <xf numFmtId="167" fontId="29" fillId="0" borderId="0">
      <protection locked="0"/>
    </xf>
    <xf numFmtId="0" fontId="20" fillId="27" borderId="0" applyBorder="0" applyProtection="0"/>
    <xf numFmtId="0" fontId="20" fillId="27" borderId="0" applyBorder="0" applyProtection="0"/>
    <xf numFmtId="0" fontId="20" fillId="27" borderId="0" applyBorder="0" applyProtection="0"/>
    <xf numFmtId="0" fontId="20" fillId="27" borderId="0" applyBorder="0" applyProtection="0"/>
    <xf numFmtId="0" fontId="20" fillId="28" borderId="0" applyBorder="0" applyProtection="0"/>
    <xf numFmtId="0" fontId="20" fillId="28" borderId="0" applyBorder="0" applyProtection="0"/>
    <xf numFmtId="0" fontId="20" fillId="28" borderId="0" applyBorder="0" applyProtection="0"/>
    <xf numFmtId="0" fontId="20" fillId="28" borderId="0" applyBorder="0" applyProtection="0"/>
    <xf numFmtId="0" fontId="20" fillId="29" borderId="0" applyBorder="0" applyProtection="0"/>
    <xf numFmtId="0" fontId="20" fillId="29" borderId="0" applyBorder="0" applyProtection="0"/>
    <xf numFmtId="0" fontId="20" fillId="29" borderId="0" applyBorder="0" applyProtection="0"/>
    <xf numFmtId="0" fontId="20" fillId="29" borderId="0" applyBorder="0" applyProtection="0"/>
    <xf numFmtId="0" fontId="20" fillId="22" borderId="0" applyBorder="0" applyProtection="0"/>
    <xf numFmtId="0" fontId="20" fillId="22" borderId="0" applyBorder="0" applyProtection="0"/>
    <xf numFmtId="0" fontId="20" fillId="22" borderId="0" applyBorder="0" applyProtection="0"/>
    <xf numFmtId="0" fontId="20" fillId="22" borderId="0" applyBorder="0" applyProtection="0"/>
    <xf numFmtId="0" fontId="20" fillId="23" borderId="0" applyBorder="0" applyProtection="0"/>
    <xf numFmtId="0" fontId="20" fillId="23" borderId="0" applyBorder="0" applyProtection="0"/>
    <xf numFmtId="0" fontId="20" fillId="23" borderId="0" applyBorder="0" applyProtection="0"/>
    <xf numFmtId="0" fontId="20" fillId="23" borderId="0" applyBorder="0" applyProtection="0"/>
    <xf numFmtId="0" fontId="20" fillId="31" borderId="0" applyBorder="0" applyProtection="0"/>
    <xf numFmtId="0" fontId="20" fillId="31" borderId="0" applyBorder="0" applyProtection="0"/>
    <xf numFmtId="0" fontId="20" fillId="31" borderId="0" applyBorder="0" applyProtection="0"/>
    <xf numFmtId="0" fontId="20" fillId="31" borderId="0" applyBorder="0" applyProtection="0"/>
    <xf numFmtId="0" fontId="30" fillId="10" borderId="11" applyProtection="0"/>
    <xf numFmtId="0" fontId="30" fillId="10" borderId="11" applyProtection="0"/>
    <xf numFmtId="0" fontId="30" fillId="10" borderId="11" applyProtection="0"/>
    <xf numFmtId="0" fontId="30" fillId="10" borderId="11" applyProtection="0"/>
    <xf numFmtId="0" fontId="30" fillId="10" borderId="11" applyProtection="0"/>
    <xf numFmtId="0" fontId="31" fillId="33" borderId="0" applyBorder="0" applyProtection="0"/>
    <xf numFmtId="0" fontId="31" fillId="33" borderId="0" applyBorder="0" applyProtection="0"/>
    <xf numFmtId="0" fontId="32" fillId="0" borderId="0" applyBorder="0" applyProtection="0"/>
    <xf numFmtId="166" fontId="29" fillId="0" borderId="0">
      <protection locked="0"/>
    </xf>
    <xf numFmtId="167" fontId="29" fillId="0" borderId="0">
      <protection locked="0"/>
    </xf>
    <xf numFmtId="167" fontId="29" fillId="0" borderId="0">
      <protection locked="0"/>
    </xf>
    <xf numFmtId="167" fontId="29" fillId="0" borderId="0">
      <protection locked="0"/>
    </xf>
    <xf numFmtId="0" fontId="33" fillId="0" borderId="0" applyBorder="0" applyProtection="0"/>
    <xf numFmtId="0" fontId="33" fillId="0" borderId="0" applyBorder="0" applyProtection="0"/>
    <xf numFmtId="0" fontId="24" fillId="11" borderId="0" applyBorder="0" applyProtection="0"/>
    <xf numFmtId="0" fontId="24" fillId="12" borderId="0" applyBorder="0" applyProtection="0"/>
    <xf numFmtId="0" fontId="25" fillId="12" borderId="0" applyBorder="0" applyProtection="0"/>
    <xf numFmtId="0" fontId="24" fillId="12" borderId="0" applyBorder="0" applyProtection="0"/>
    <xf numFmtId="0" fontId="34" fillId="0" borderId="14" applyProtection="0"/>
    <xf numFmtId="0" fontId="34" fillId="0" borderId="14" applyProtection="0"/>
    <xf numFmtId="0" fontId="35" fillId="0" borderId="0" applyBorder="0" applyProtection="0"/>
    <xf numFmtId="0" fontId="34" fillId="0" borderId="14" applyProtection="0"/>
    <xf numFmtId="0" fontId="34" fillId="0" borderId="14" applyProtection="0"/>
    <xf numFmtId="0" fontId="36" fillId="0" borderId="15" applyProtection="0"/>
    <xf numFmtId="0" fontId="36" fillId="0" borderId="15" applyProtection="0"/>
    <xf numFmtId="0" fontId="37" fillId="0" borderId="0" applyBorder="0" applyProtection="0"/>
    <xf numFmtId="0" fontId="36" fillId="0" borderId="15" applyProtection="0"/>
    <xf numFmtId="0" fontId="36" fillId="0" borderId="15" applyProtection="0"/>
    <xf numFmtId="0" fontId="38" fillId="0" borderId="16" applyProtection="0"/>
    <xf numFmtId="0" fontId="38" fillId="0" borderId="0" applyBorder="0" applyProtection="0"/>
    <xf numFmtId="0" fontId="39" fillId="0" borderId="0" applyBorder="0" applyProtection="0"/>
    <xf numFmtId="0" fontId="39" fillId="0" borderId="0" applyBorder="0" applyProtection="0"/>
    <xf numFmtId="0" fontId="39" fillId="0" borderId="0" applyBorder="0" applyProtection="0"/>
    <xf numFmtId="0" fontId="40" fillId="0" borderId="0" applyBorder="0" applyProtection="0"/>
    <xf numFmtId="0" fontId="22" fillId="9" borderId="0" applyBorder="0" applyProtection="0"/>
    <xf numFmtId="0" fontId="22" fillId="9" borderId="0" applyBorder="0" applyProtection="0"/>
    <xf numFmtId="0" fontId="22" fillId="9" borderId="0" applyBorder="0" applyProtection="0"/>
    <xf numFmtId="0" fontId="22" fillId="9" borderId="0" applyBorder="0" applyProtection="0"/>
    <xf numFmtId="0" fontId="30" fillId="10" borderId="11" applyProtection="0"/>
    <xf numFmtId="0" fontId="30" fillId="10" borderId="11" applyProtection="0"/>
    <xf numFmtId="0" fontId="30" fillId="10" borderId="11" applyProtection="0"/>
    <xf numFmtId="0" fontId="28" fillId="0" borderId="13" applyProtection="0"/>
    <xf numFmtId="168" fontId="1" fillId="0" borderId="0" applyBorder="0" applyProtection="0"/>
    <xf numFmtId="168" fontId="1" fillId="0" borderId="0" applyBorder="0">
      <protection locked="0"/>
    </xf>
    <xf numFmtId="169" fontId="1" fillId="0" borderId="0" applyBorder="0" applyProtection="0"/>
    <xf numFmtId="170" fontId="1" fillId="0" borderId="0" applyBorder="0" applyProtection="0"/>
    <xf numFmtId="171" fontId="1" fillId="0" borderId="0" applyBorder="0" applyProtection="0"/>
    <xf numFmtId="168" fontId="1" fillId="0" borderId="0" applyBorder="0" applyProtection="0"/>
    <xf numFmtId="172" fontId="1" fillId="0" borderId="0" applyBorder="0" applyProtection="0"/>
    <xf numFmtId="170" fontId="1" fillId="0" borderId="0" applyBorder="0" applyProtection="0"/>
    <xf numFmtId="169" fontId="1" fillId="0" borderId="0" applyBorder="0" applyProtection="0"/>
    <xf numFmtId="172" fontId="1" fillId="0" borderId="0" applyBorder="0" applyProtection="0"/>
    <xf numFmtId="169" fontId="1" fillId="0" borderId="0" applyBorder="0" applyProtection="0"/>
    <xf numFmtId="169" fontId="1" fillId="0" borderId="0" applyBorder="0" applyProtection="0"/>
    <xf numFmtId="172" fontId="1" fillId="0" borderId="0" applyBorder="0" applyProtection="0"/>
    <xf numFmtId="170" fontId="1" fillId="0" borderId="0" applyBorder="0" applyProtection="0"/>
    <xf numFmtId="168" fontId="1" fillId="0" borderId="0" applyBorder="0" applyProtection="0"/>
    <xf numFmtId="170" fontId="1" fillId="0" borderId="0" applyBorder="0" applyProtection="0"/>
    <xf numFmtId="173" fontId="1" fillId="0" borderId="0" applyBorder="0" applyProtection="0"/>
    <xf numFmtId="169" fontId="1" fillId="0" borderId="0" applyBorder="0" applyProtection="0"/>
    <xf numFmtId="168" fontId="1" fillId="0" borderId="0" applyBorder="0">
      <protection locked="0"/>
    </xf>
    <xf numFmtId="169" fontId="1" fillId="0" borderId="0" applyBorder="0" applyProtection="0"/>
    <xf numFmtId="168" fontId="1" fillId="0" borderId="0" applyBorder="0" applyProtection="0"/>
    <xf numFmtId="168" fontId="1" fillId="0" borderId="0" applyBorder="0">
      <protection locked="0"/>
    </xf>
    <xf numFmtId="168" fontId="1" fillId="0" borderId="0" applyBorder="0" applyProtection="0"/>
    <xf numFmtId="0" fontId="41" fillId="6" borderId="0" applyBorder="0" applyProtection="0"/>
    <xf numFmtId="0" fontId="41" fillId="6" borderId="0" applyBorder="0" applyProtection="0"/>
    <xf numFmtId="0" fontId="41" fillId="6" borderId="0" applyBorder="0" applyProtection="0"/>
    <xf numFmtId="0" fontId="41" fillId="6" borderId="0" applyBorder="0" applyProtection="0"/>
    <xf numFmtId="0" fontId="42" fillId="34" borderId="0" applyBorder="0" applyProtection="0"/>
    <xf numFmtId="0" fontId="41" fillId="6" borderId="0" applyBorder="0" applyProtection="0"/>
    <xf numFmtId="0" fontId="41" fillId="6" borderId="0" applyBorder="0" applyProtection="0"/>
    <xf numFmtId="0" fontId="42" fillId="34" borderId="0" applyBorder="0" applyProtection="0"/>
    <xf numFmtId="0" fontId="41" fillId="6" borderId="0" applyBorder="0" applyProtection="0"/>
    <xf numFmtId="0" fontId="41" fillId="6" borderId="0" applyBorder="0" applyProtection="0"/>
    <xf numFmtId="0" fontId="19" fillId="0" borderId="0"/>
    <xf numFmtId="0" fontId="1" fillId="0" borderId="0"/>
    <xf numFmtId="0" fontId="4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174" fontId="19" fillId="0" borderId="0"/>
    <xf numFmtId="0" fontId="19" fillId="0" borderId="0"/>
    <xf numFmtId="0" fontId="19" fillId="0" borderId="0"/>
    <xf numFmtId="0" fontId="1" fillId="0" borderId="0"/>
    <xf numFmtId="0" fontId="1" fillId="0" borderId="0"/>
    <xf numFmtId="0" fontId="18" fillId="0" borderId="0"/>
    <xf numFmtId="0" fontId="19" fillId="0" borderId="0"/>
    <xf numFmtId="0" fontId="1" fillId="0" borderId="0"/>
    <xf numFmtId="0" fontId="1" fillId="0" borderId="0"/>
    <xf numFmtId="0" fontId="19" fillId="0" borderId="0"/>
    <xf numFmtId="0" fontId="1" fillId="0" borderId="0"/>
    <xf numFmtId="0" fontId="19" fillId="0" borderId="0"/>
    <xf numFmtId="0" fontId="1" fillId="0" borderId="0"/>
    <xf numFmtId="0" fontId="1" fillId="0" borderId="0"/>
    <xf numFmtId="0" fontId="44" fillId="0" borderId="0"/>
    <xf numFmtId="0" fontId="1" fillId="0" borderId="0"/>
    <xf numFmtId="0" fontId="1" fillId="0" borderId="0"/>
    <xf numFmtId="0" fontId="19" fillId="0" borderId="0"/>
    <xf numFmtId="0" fontId="1" fillId="34" borderId="17" applyProtection="0"/>
    <xf numFmtId="0" fontId="1" fillId="34" borderId="17" applyProtection="0"/>
    <xf numFmtId="0" fontId="1" fillId="34" borderId="17" applyProtection="0"/>
    <xf numFmtId="0" fontId="1" fillId="34" borderId="17" applyProtection="0"/>
    <xf numFmtId="0" fontId="1" fillId="34" borderId="17" applyProtection="0"/>
    <xf numFmtId="0" fontId="1" fillId="34" borderId="17" applyProtection="0"/>
    <xf numFmtId="0" fontId="1" fillId="34" borderId="17" applyProtection="0"/>
    <xf numFmtId="0" fontId="1" fillId="34" borderId="17" applyProtection="0"/>
    <xf numFmtId="0" fontId="1" fillId="34" borderId="17" applyProtection="0"/>
    <xf numFmtId="0" fontId="1" fillId="34" borderId="17" applyProtection="0"/>
    <xf numFmtId="0" fontId="45" fillId="34" borderId="11" applyProtection="0"/>
    <xf numFmtId="0" fontId="45" fillId="34" borderId="11" applyProtection="0"/>
    <xf numFmtId="0" fontId="1" fillId="34" borderId="17" applyProtection="0"/>
    <xf numFmtId="0" fontId="1" fillId="34" borderId="17" applyProtection="0"/>
    <xf numFmtId="0" fontId="45" fillId="34" borderId="11" applyProtection="0"/>
    <xf numFmtId="0" fontId="1" fillId="34" borderId="17" applyProtection="0"/>
    <xf numFmtId="0" fontId="46" fillId="19" borderId="18" applyProtection="0"/>
    <xf numFmtId="0" fontId="46" fillId="19" borderId="18" applyProtection="0"/>
    <xf numFmtId="0" fontId="46" fillId="19" borderId="18" applyProtection="0"/>
    <xf numFmtId="166" fontId="29" fillId="0" borderId="0">
      <protection locked="0"/>
    </xf>
    <xf numFmtId="167" fontId="29" fillId="0" borderId="0">
      <protection locked="0"/>
    </xf>
    <xf numFmtId="167" fontId="29" fillId="0" borderId="0">
      <protection locked="0"/>
    </xf>
    <xf numFmtId="167" fontId="29" fillId="0" borderId="0">
      <protection locked="0"/>
    </xf>
    <xf numFmtId="166" fontId="29" fillId="0" borderId="0">
      <protection locked="0"/>
    </xf>
    <xf numFmtId="167" fontId="29" fillId="0" borderId="0">
      <protection locked="0"/>
    </xf>
    <xf numFmtId="167" fontId="29" fillId="0" borderId="0">
      <protection locked="0"/>
    </xf>
    <xf numFmtId="167" fontId="29" fillId="0" borderId="0">
      <protection locked="0"/>
    </xf>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protection locked="0"/>
    </xf>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9" fontId="1" fillId="0" borderId="0" applyBorder="0" applyProtection="0"/>
    <xf numFmtId="0" fontId="22" fillId="9" borderId="0" applyBorder="0" applyProtection="0"/>
    <xf numFmtId="0" fontId="46" fillId="19" borderId="18" applyProtection="0"/>
    <xf numFmtId="0" fontId="46" fillId="19" borderId="18" applyProtection="0"/>
    <xf numFmtId="0" fontId="46" fillId="19" borderId="18" applyProtection="0"/>
    <xf numFmtId="0" fontId="46" fillId="19" borderId="18" applyProtection="0"/>
    <xf numFmtId="0" fontId="46" fillId="19" borderId="18" applyProtection="0"/>
    <xf numFmtId="166" fontId="47" fillId="0" borderId="0">
      <protection locked="0"/>
    </xf>
    <xf numFmtId="167" fontId="47" fillId="0" borderId="0">
      <protection locked="0"/>
    </xf>
    <xf numFmtId="167" fontId="47" fillId="0" borderId="0">
      <protection locked="0"/>
    </xf>
    <xf numFmtId="167" fontId="47" fillId="0" borderId="0">
      <protection locked="0"/>
    </xf>
    <xf numFmtId="165" fontId="1" fillId="0" borderId="0" applyBorder="0" applyProtection="0"/>
    <xf numFmtId="165" fontId="1" fillId="0" borderId="0" applyBorder="0" applyProtection="0"/>
    <xf numFmtId="165" fontId="1" fillId="0" borderId="0" applyBorder="0" applyProtection="0"/>
    <xf numFmtId="165" fontId="1" fillId="0" borderId="0" applyBorder="0" applyProtection="0"/>
    <xf numFmtId="165" fontId="1" fillId="0" borderId="0" applyBorder="0" applyProtection="0"/>
    <xf numFmtId="175" fontId="1" fillId="0" borderId="0" applyBorder="0" applyProtection="0"/>
    <xf numFmtId="165" fontId="1" fillId="0" borderId="0" applyBorder="0" applyProtection="0"/>
    <xf numFmtId="175" fontId="1" fillId="0" borderId="0" applyBorder="0" applyProtection="0"/>
    <xf numFmtId="165" fontId="1" fillId="0" borderId="0" applyBorder="0" applyProtection="0"/>
    <xf numFmtId="176" fontId="1" fillId="0" borderId="0" applyBorder="0" applyProtection="0"/>
    <xf numFmtId="177" fontId="1" fillId="0" borderId="0" applyBorder="0" applyProtection="0"/>
    <xf numFmtId="177" fontId="1" fillId="0" borderId="0" applyBorder="0" applyProtection="0"/>
    <xf numFmtId="177" fontId="48" fillId="0" borderId="0" applyBorder="0" applyProtection="0"/>
    <xf numFmtId="177" fontId="1" fillId="0" borderId="0" applyBorder="0" applyProtection="0"/>
    <xf numFmtId="177" fontId="1" fillId="0" borderId="0" applyBorder="0" applyProtection="0"/>
    <xf numFmtId="165" fontId="1" fillId="0" borderId="0" applyBorder="0" applyProtection="0"/>
    <xf numFmtId="175" fontId="1" fillId="0" borderId="0" applyBorder="0" applyProtection="0"/>
    <xf numFmtId="177" fontId="1" fillId="0" borderId="0" applyBorder="0" applyProtection="0"/>
    <xf numFmtId="177" fontId="1" fillId="0" borderId="0" applyBorder="0" applyProtection="0"/>
    <xf numFmtId="165" fontId="1" fillId="0" borderId="0" applyBorder="0" applyProtection="0"/>
    <xf numFmtId="176" fontId="1" fillId="0" borderId="0" applyBorder="0" applyProtection="0"/>
    <xf numFmtId="177" fontId="1" fillId="0" borderId="0" applyBorder="0" applyProtection="0"/>
    <xf numFmtId="177" fontId="1" fillId="0" borderId="0" applyBorder="0" applyProtection="0"/>
    <xf numFmtId="177" fontId="48" fillId="0" borderId="0" applyBorder="0" applyProtection="0"/>
    <xf numFmtId="177" fontId="1" fillId="0" borderId="0" applyBorder="0" applyProtection="0"/>
    <xf numFmtId="177" fontId="1" fillId="0" borderId="0" applyBorder="0" applyProtection="0"/>
    <xf numFmtId="0" fontId="1" fillId="0" borderId="0" applyBorder="0" applyProtection="0"/>
    <xf numFmtId="0" fontId="1" fillId="0" borderId="0" applyBorder="0" applyProtection="0"/>
    <xf numFmtId="0" fontId="1" fillId="0" borderId="0" applyBorder="0" applyProtection="0"/>
    <xf numFmtId="0" fontId="1" fillId="0" borderId="0" applyBorder="0" applyProtection="0"/>
    <xf numFmtId="0" fontId="49" fillId="0" borderId="0" applyBorder="0" applyProtection="0"/>
    <xf numFmtId="0" fontId="49" fillId="0" borderId="0" applyBorder="0" applyProtection="0"/>
    <xf numFmtId="0" fontId="49" fillId="0" borderId="0" applyBorder="0" applyProtection="0"/>
    <xf numFmtId="0" fontId="49" fillId="0" borderId="0" applyBorder="0" applyProtection="0"/>
    <xf numFmtId="0" fontId="32" fillId="0" borderId="0" applyBorder="0" applyProtection="0"/>
    <xf numFmtId="0" fontId="32" fillId="0" borderId="0" applyBorder="0" applyProtection="0"/>
    <xf numFmtId="0" fontId="32" fillId="0" borderId="0" applyBorder="0" applyProtection="0"/>
    <xf numFmtId="0" fontId="32" fillId="0" borderId="0" applyBorder="0" applyProtection="0"/>
    <xf numFmtId="0" fontId="50" fillId="0" borderId="0" applyBorder="0" applyProtection="0"/>
    <xf numFmtId="0" fontId="51" fillId="0" borderId="19" applyProtection="0"/>
    <xf numFmtId="0" fontId="34" fillId="0" borderId="14" applyProtection="0"/>
    <xf numFmtId="0" fontId="34" fillId="0" borderId="14" applyProtection="0"/>
    <xf numFmtId="0" fontId="34" fillId="0" borderId="14" applyProtection="0"/>
    <xf numFmtId="0" fontId="34" fillId="0" borderId="14" applyProtection="0"/>
    <xf numFmtId="0" fontId="34" fillId="0" borderId="14" applyProtection="0"/>
    <xf numFmtId="0" fontId="36" fillId="0" borderId="15" applyProtection="0"/>
    <xf numFmtId="0" fontId="36" fillId="0" borderId="15" applyProtection="0"/>
    <xf numFmtId="0" fontId="36" fillId="0" borderId="15" applyProtection="0"/>
    <xf numFmtId="0" fontId="36" fillId="0" borderId="15" applyProtection="0"/>
    <xf numFmtId="0" fontId="36" fillId="0" borderId="15" applyProtection="0"/>
    <xf numFmtId="0" fontId="38" fillId="0" borderId="16" applyProtection="0"/>
    <xf numFmtId="0" fontId="38" fillId="0" borderId="16" applyProtection="0"/>
    <xf numFmtId="0" fontId="38" fillId="0" borderId="16" applyProtection="0"/>
    <xf numFmtId="0" fontId="38" fillId="0" borderId="16" applyProtection="0"/>
    <xf numFmtId="0" fontId="38" fillId="0" borderId="16" applyProtection="0"/>
    <xf numFmtId="0" fontId="38" fillId="0" borderId="0" applyBorder="0" applyProtection="0"/>
    <xf numFmtId="0" fontId="38" fillId="0" borderId="0" applyBorder="0" applyProtection="0"/>
    <xf numFmtId="0" fontId="38" fillId="0" borderId="0" applyBorder="0" applyProtection="0"/>
    <xf numFmtId="0" fontId="38" fillId="0" borderId="0" applyBorder="0" applyProtection="0"/>
    <xf numFmtId="0" fontId="50" fillId="0" borderId="0" applyBorder="0" applyProtection="0"/>
    <xf numFmtId="0" fontId="50" fillId="0" borderId="0" applyBorder="0" applyProtection="0"/>
    <xf numFmtId="0" fontId="52" fillId="0" borderId="0" applyBorder="0" applyProtection="0"/>
    <xf numFmtId="0" fontId="50" fillId="0" borderId="0" applyBorder="0" applyProtection="0"/>
    <xf numFmtId="0" fontId="50" fillId="0" borderId="0" applyBorder="0" applyProtection="0"/>
    <xf numFmtId="166" fontId="53" fillId="0" borderId="0">
      <protection locked="0"/>
    </xf>
    <xf numFmtId="167" fontId="53" fillId="0" borderId="0">
      <protection locked="0"/>
    </xf>
    <xf numFmtId="167" fontId="53" fillId="0" borderId="0">
      <protection locked="0"/>
    </xf>
    <xf numFmtId="167" fontId="53" fillId="0" borderId="0">
      <protection locked="0"/>
    </xf>
    <xf numFmtId="166" fontId="53" fillId="0" borderId="0">
      <protection locked="0"/>
    </xf>
    <xf numFmtId="167" fontId="53" fillId="0" borderId="0">
      <protection locked="0"/>
    </xf>
    <xf numFmtId="167" fontId="53" fillId="0" borderId="0">
      <protection locked="0"/>
    </xf>
    <xf numFmtId="167" fontId="53" fillId="0" borderId="0">
      <protection locked="0"/>
    </xf>
    <xf numFmtId="0" fontId="14" fillId="0" borderId="20" applyProtection="0"/>
    <xf numFmtId="0" fontId="14" fillId="0" borderId="20" applyProtection="0"/>
    <xf numFmtId="0" fontId="14" fillId="0" borderId="20" applyProtection="0"/>
    <xf numFmtId="0" fontId="14" fillId="0" borderId="20" applyProtection="0"/>
    <xf numFmtId="0" fontId="14" fillId="0" borderId="20" applyProtection="0"/>
    <xf numFmtId="165" fontId="1" fillId="0" borderId="0" applyBorder="0" applyProtection="0"/>
    <xf numFmtId="177" fontId="1" fillId="0" borderId="0" applyBorder="0" applyProtection="0"/>
    <xf numFmtId="175" fontId="1" fillId="0" borderId="0" applyBorder="0" applyProtection="0"/>
    <xf numFmtId="175" fontId="48" fillId="0" borderId="0" applyBorder="0" applyProtection="0"/>
    <xf numFmtId="177" fontId="1" fillId="0" borderId="0" applyBorder="0" applyProtection="0"/>
    <xf numFmtId="175" fontId="1" fillId="0" borderId="0" applyBorder="0" applyProtection="0"/>
    <xf numFmtId="175" fontId="1" fillId="0" borderId="0" applyBorder="0" applyProtection="0"/>
    <xf numFmtId="175" fontId="1" fillId="0" borderId="0" applyBorder="0" applyProtection="0"/>
    <xf numFmtId="177" fontId="1" fillId="0" borderId="0" applyBorder="0" applyProtection="0"/>
    <xf numFmtId="175" fontId="1" fillId="0" borderId="0" applyBorder="0" applyProtection="0"/>
    <xf numFmtId="165" fontId="1" fillId="0" borderId="0" applyBorder="0" applyProtection="0"/>
    <xf numFmtId="177" fontId="1" fillId="0" borderId="0" applyBorder="0" applyProtection="0"/>
    <xf numFmtId="177" fontId="1" fillId="0" borderId="0" applyBorder="0" applyProtection="0"/>
    <xf numFmtId="177" fontId="1" fillId="0" borderId="0" applyBorder="0" applyProtection="0"/>
    <xf numFmtId="175" fontId="1" fillId="0" borderId="0" applyBorder="0" applyProtection="0"/>
    <xf numFmtId="177" fontId="1" fillId="0" borderId="0" applyBorder="0" applyProtection="0"/>
    <xf numFmtId="175" fontId="1" fillId="0" borderId="0" applyBorder="0" applyProtection="0"/>
    <xf numFmtId="175" fontId="1" fillId="0" borderId="0" applyBorder="0" applyProtection="0"/>
    <xf numFmtId="0" fontId="23" fillId="0" borderId="0" applyBorder="0" applyProtection="0"/>
    <xf numFmtId="0" fontId="23" fillId="0" borderId="0" applyBorder="0" applyProtection="0"/>
    <xf numFmtId="0" fontId="49" fillId="0" borderId="0" applyBorder="0" applyProtection="0"/>
    <xf numFmtId="0" fontId="23" fillId="0" borderId="0" applyBorder="0" applyProtection="0"/>
    <xf numFmtId="0" fontId="19" fillId="0" borderId="0"/>
    <xf numFmtId="0" fontId="19" fillId="0" borderId="0"/>
    <xf numFmtId="0" fontId="1" fillId="0" borderId="0"/>
  </cellStyleXfs>
  <cellXfs count="215">
    <xf numFmtId="0" fontId="0" fillId="0" borderId="0" xfId="0"/>
    <xf numFmtId="0" fontId="2" fillId="0" borderId="0" xfId="0" applyFont="1" applyAlignment="1">
      <alignment vertical="center"/>
    </xf>
    <xf numFmtId="0" fontId="2" fillId="0" borderId="0" xfId="0" applyFont="1"/>
    <xf numFmtId="0" fontId="1" fillId="0" borderId="4" xfId="0" applyFont="1" applyBorder="1" applyAlignment="1">
      <alignment horizontal="center" vertical="center"/>
    </xf>
    <xf numFmtId="0" fontId="4" fillId="0" borderId="4" xfId="0" applyFont="1" applyBorder="1" applyAlignment="1">
      <alignment horizontal="center" vertical="center"/>
    </xf>
    <xf numFmtId="0" fontId="1" fillId="0" borderId="7" xfId="0" applyFont="1" applyBorder="1" applyAlignment="1">
      <alignment horizontal="center" vertical="center"/>
    </xf>
    <xf numFmtId="0" fontId="4" fillId="0" borderId="7" xfId="0" applyFont="1" applyBorder="1" applyAlignment="1">
      <alignment horizontal="center" vertical="center"/>
    </xf>
    <xf numFmtId="0" fontId="4" fillId="0" borderId="7" xfId="0" applyFont="1" applyBorder="1" applyAlignment="1">
      <alignment horizontal="center" vertical="center" wrapText="1"/>
    </xf>
    <xf numFmtId="0" fontId="5" fillId="3" borderId="8" xfId="0" applyFont="1" applyFill="1" applyBorder="1" applyAlignment="1">
      <alignment horizontal="center" vertical="center"/>
    </xf>
    <xf numFmtId="0" fontId="7" fillId="3" borderId="8" xfId="0" applyFont="1" applyFill="1" applyBorder="1" applyAlignment="1">
      <alignment horizontal="center" vertical="center" wrapText="1"/>
    </xf>
    <xf numFmtId="0" fontId="9" fillId="4" borderId="8" xfId="0" applyFont="1" applyFill="1" applyBorder="1" applyAlignment="1">
      <alignment horizontal="center" vertical="center"/>
    </xf>
    <xf numFmtId="0" fontId="8" fillId="4" borderId="8" xfId="0" applyFont="1" applyFill="1" applyBorder="1" applyAlignment="1">
      <alignment vertical="center" wrapText="1"/>
    </xf>
    <xf numFmtId="0" fontId="8" fillId="4" borderId="8" xfId="2" applyFont="1" applyFill="1" applyBorder="1" applyAlignment="1">
      <alignment horizontal="center" vertical="center"/>
    </xf>
    <xf numFmtId="4" fontId="8" fillId="4" borderId="8" xfId="1" applyNumberFormat="1" applyFont="1" applyFill="1" applyBorder="1" applyAlignment="1" applyProtection="1">
      <alignment horizontal="center" vertical="center" wrapText="1"/>
    </xf>
    <xf numFmtId="4" fontId="8" fillId="4" borderId="8" xfId="0" applyNumberFormat="1" applyFont="1" applyFill="1" applyBorder="1" applyAlignment="1">
      <alignment horizontal="right" vertical="center" wrapText="1"/>
    </xf>
    <xf numFmtId="0" fontId="4" fillId="0" borderId="0" xfId="0" applyFont="1" applyAlignment="1">
      <alignment vertical="center"/>
    </xf>
    <xf numFmtId="0" fontId="4" fillId="0" borderId="0" xfId="0" applyFont="1"/>
    <xf numFmtId="0" fontId="11" fillId="0" borderId="8" xfId="0" applyFont="1" applyBorder="1" applyAlignment="1">
      <alignment horizontal="center" vertical="center"/>
    </xf>
    <xf numFmtId="0" fontId="10" fillId="0" borderId="8" xfId="0" applyFont="1" applyBorder="1" applyAlignment="1">
      <alignment vertical="center" wrapText="1"/>
    </xf>
    <xf numFmtId="0" fontId="10" fillId="0" borderId="8" xfId="2" applyFont="1" applyBorder="1" applyAlignment="1">
      <alignment horizontal="center" vertical="center"/>
    </xf>
    <xf numFmtId="4" fontId="10" fillId="0" borderId="8" xfId="1" applyNumberFormat="1" applyFont="1" applyBorder="1" applyAlignment="1" applyProtection="1">
      <alignment horizontal="center" vertical="center" wrapText="1"/>
    </xf>
    <xf numFmtId="4" fontId="10" fillId="0" borderId="8" xfId="0" applyNumberFormat="1" applyFont="1" applyBorder="1" applyAlignment="1">
      <alignment horizontal="right" vertical="center" wrapText="1"/>
    </xf>
    <xf numFmtId="4" fontId="2" fillId="0" borderId="0" xfId="0" applyNumberFormat="1" applyFont="1" applyAlignment="1">
      <alignment vertical="center"/>
    </xf>
    <xf numFmtId="4" fontId="10" fillId="4" borderId="8" xfId="0" applyNumberFormat="1" applyFont="1" applyFill="1" applyBorder="1" applyAlignment="1">
      <alignment horizontal="right" vertical="center" wrapText="1"/>
    </xf>
    <xf numFmtId="49" fontId="12" fillId="0" borderId="0" xfId="0" applyNumberFormat="1" applyFont="1" applyBorder="1" applyAlignment="1">
      <alignment vertical="center" wrapText="1"/>
    </xf>
    <xf numFmtId="49" fontId="12" fillId="0" borderId="9" xfId="0" applyNumberFormat="1" applyFont="1" applyBorder="1" applyAlignment="1">
      <alignment vertical="center" wrapText="1"/>
    </xf>
    <xf numFmtId="0" fontId="13" fillId="0" borderId="0" xfId="0" applyFont="1"/>
    <xf numFmtId="0" fontId="7" fillId="0" borderId="0" xfId="0" applyFont="1"/>
    <xf numFmtId="4" fontId="10" fillId="4" borderId="8" xfId="1" applyNumberFormat="1" applyFont="1" applyFill="1" applyBorder="1" applyAlignment="1" applyProtection="1">
      <alignment horizontal="center" vertical="center" wrapText="1"/>
    </xf>
    <xf numFmtId="0" fontId="11" fillId="5" borderId="8" xfId="0" applyFont="1" applyFill="1" applyBorder="1" applyAlignment="1">
      <alignment horizontal="center" vertical="center"/>
    </xf>
    <xf numFmtId="0" fontId="10" fillId="5" borderId="8" xfId="0" applyFont="1" applyFill="1" applyBorder="1" applyAlignment="1">
      <alignment vertical="center" wrapText="1"/>
    </xf>
    <xf numFmtId="0" fontId="10" fillId="5" borderId="8" xfId="2" applyFont="1" applyFill="1" applyBorder="1" applyAlignment="1">
      <alignment horizontal="center" vertical="center"/>
    </xf>
    <xf numFmtId="4" fontId="10" fillId="5" borderId="8" xfId="1" applyNumberFormat="1" applyFont="1" applyFill="1" applyBorder="1" applyAlignment="1" applyProtection="1">
      <alignment horizontal="center" vertical="center" wrapText="1"/>
    </xf>
    <xf numFmtId="4" fontId="10" fillId="5" borderId="8" xfId="0" applyNumberFormat="1" applyFont="1" applyFill="1" applyBorder="1" applyAlignment="1">
      <alignment horizontal="right" vertical="center" wrapText="1"/>
    </xf>
    <xf numFmtId="4" fontId="16" fillId="0" borderId="0" xfId="0" applyNumberFormat="1" applyFont="1" applyAlignment="1">
      <alignment vertical="center"/>
    </xf>
    <xf numFmtId="165" fontId="1" fillId="0" borderId="0" xfId="1" applyBorder="1" applyProtection="1"/>
    <xf numFmtId="0" fontId="17" fillId="7" borderId="0" xfId="0" applyFont="1" applyFill="1" applyBorder="1" applyAlignment="1">
      <alignment horizontal="center" vertical="center"/>
    </xf>
    <xf numFmtId="0" fontId="18" fillId="7" borderId="0" xfId="0" applyFont="1" applyFill="1" applyBorder="1" applyAlignment="1">
      <alignment horizontal="center" vertical="center"/>
    </xf>
    <xf numFmtId="165" fontId="1" fillId="0" borderId="0" xfId="1" applyBorder="1" applyAlignment="1" applyProtection="1">
      <alignment vertical="center"/>
    </xf>
    <xf numFmtId="0" fontId="1" fillId="7" borderId="0" xfId="0" applyFont="1" applyFill="1" applyBorder="1"/>
    <xf numFmtId="0" fontId="2" fillId="7" borderId="0" xfId="0" applyFont="1" applyFill="1" applyBorder="1"/>
    <xf numFmtId="4" fontId="2" fillId="0" borderId="0" xfId="0" applyNumberFormat="1" applyFont="1"/>
    <xf numFmtId="0" fontId="1" fillId="7" borderId="0" xfId="3" applyFont="1" applyFill="1" applyBorder="1" applyAlignment="1">
      <alignment wrapText="1"/>
    </xf>
    <xf numFmtId="0" fontId="1" fillId="0" borderId="0" xfId="0" applyFont="1"/>
    <xf numFmtId="0" fontId="17" fillId="0" borderId="0" xfId="0" applyFont="1" applyBorder="1" applyAlignment="1">
      <alignment horizontal="justify" vertical="center"/>
    </xf>
    <xf numFmtId="0" fontId="18" fillId="0" borderId="0" xfId="0" applyFont="1" applyBorder="1" applyAlignment="1">
      <alignment vertical="center"/>
    </xf>
    <xf numFmtId="0" fontId="4" fillId="0" borderId="21" xfId="0" applyFont="1" applyBorder="1" applyAlignment="1">
      <alignment vertical="center"/>
    </xf>
    <xf numFmtId="0" fontId="1" fillId="0" borderId="30" xfId="0" applyFont="1" applyBorder="1" applyAlignment="1">
      <alignment horizontal="center" vertical="center"/>
    </xf>
    <xf numFmtId="0" fontId="4" fillId="0" borderId="31" xfId="0" applyFont="1" applyBorder="1" applyAlignment="1">
      <alignment horizontal="center" vertical="center"/>
    </xf>
    <xf numFmtId="0" fontId="4" fillId="0" borderId="37" xfId="0" applyFont="1" applyBorder="1" applyAlignment="1">
      <alignment horizontal="center" vertical="center"/>
    </xf>
    <xf numFmtId="0" fontId="1" fillId="0" borderId="40" xfId="0" applyFont="1" applyBorder="1" applyAlignment="1">
      <alignment horizontal="center" vertical="center"/>
    </xf>
    <xf numFmtId="0" fontId="4" fillId="0" borderId="41" xfId="0" applyFont="1" applyBorder="1" applyAlignment="1">
      <alignment horizontal="center" vertical="center" wrapText="1"/>
    </xf>
    <xf numFmtId="0" fontId="5" fillId="3" borderId="42" xfId="0" applyFont="1" applyFill="1" applyBorder="1" applyAlignment="1">
      <alignment horizontal="center" vertical="center"/>
    </xf>
    <xf numFmtId="0" fontId="7" fillId="3" borderId="35" xfId="0" applyFont="1" applyFill="1" applyBorder="1" applyAlignment="1">
      <alignment horizontal="center" vertical="center" wrapText="1"/>
    </xf>
    <xf numFmtId="0" fontId="8" fillId="4" borderId="42" xfId="0" applyFont="1" applyFill="1" applyBorder="1" applyAlignment="1">
      <alignment horizontal="center" vertical="center" wrapText="1"/>
    </xf>
    <xf numFmtId="4" fontId="8" fillId="4" borderId="35" xfId="0" applyNumberFormat="1" applyFont="1" applyFill="1" applyBorder="1" applyAlignment="1">
      <alignment horizontal="right" vertical="center" wrapText="1"/>
    </xf>
    <xf numFmtId="0" fontId="10" fillId="0" borderId="42" xfId="0" applyFont="1" applyBorder="1" applyAlignment="1">
      <alignment horizontal="center" vertical="center" wrapText="1"/>
    </xf>
    <xf numFmtId="4" fontId="10" fillId="0" borderId="35" xfId="0" applyNumberFormat="1" applyFont="1" applyBorder="1" applyAlignment="1">
      <alignment horizontal="right" vertical="center" wrapText="1"/>
    </xf>
    <xf numFmtId="0" fontId="10" fillId="5" borderId="42" xfId="0" applyFont="1" applyFill="1" applyBorder="1" applyAlignment="1">
      <alignment horizontal="center" vertical="center" wrapText="1"/>
    </xf>
    <xf numFmtId="4" fontId="10" fillId="5" borderId="35" xfId="0" applyNumberFormat="1" applyFont="1" applyFill="1" applyBorder="1" applyAlignment="1">
      <alignment horizontal="right" vertical="center" wrapText="1"/>
    </xf>
    <xf numFmtId="4" fontId="15" fillId="6" borderId="35" xfId="0" applyNumberFormat="1" applyFont="1" applyFill="1" applyBorder="1" applyAlignment="1">
      <alignment horizontal="center" vertical="center" wrapText="1"/>
    </xf>
    <xf numFmtId="0" fontId="17" fillId="7" borderId="43" xfId="0" applyFont="1" applyFill="1" applyBorder="1" applyAlignment="1">
      <alignment horizontal="center" vertical="center"/>
    </xf>
    <xf numFmtId="0" fontId="18" fillId="7" borderId="44" xfId="0" applyFont="1" applyFill="1" applyBorder="1" applyAlignment="1">
      <alignment horizontal="center" vertical="center"/>
    </xf>
    <xf numFmtId="0" fontId="1" fillId="7" borderId="43" xfId="0" applyFont="1" applyFill="1" applyBorder="1"/>
    <xf numFmtId="0" fontId="2" fillId="7" borderId="44" xfId="0" applyFont="1" applyFill="1" applyBorder="1"/>
    <xf numFmtId="0" fontId="1" fillId="7" borderId="43" xfId="3" applyFont="1" applyFill="1" applyBorder="1" applyAlignment="1">
      <alignment wrapText="1"/>
    </xf>
    <xf numFmtId="0" fontId="1" fillId="7" borderId="44" xfId="3" applyFont="1" applyFill="1" applyBorder="1" applyAlignment="1">
      <alignment wrapText="1"/>
    </xf>
    <xf numFmtId="0" fontId="11" fillId="35" borderId="8" xfId="0" applyFont="1" applyFill="1" applyBorder="1" applyAlignment="1">
      <alignment horizontal="center" vertical="center"/>
    </xf>
    <xf numFmtId="0" fontId="19" fillId="0" borderId="0" xfId="490"/>
    <xf numFmtId="10" fontId="57" fillId="7" borderId="8" xfId="359" applyNumberFormat="1" applyFont="1" applyFill="1" applyBorder="1" applyAlignment="1" applyProtection="1">
      <alignment horizontal="right" vertical="top" wrapText="1"/>
    </xf>
    <xf numFmtId="10" fontId="58" fillId="7" borderId="50" xfId="3" applyNumberFormat="1" applyFont="1" applyFill="1" applyBorder="1" applyAlignment="1">
      <alignment vertical="top" wrapText="1"/>
    </xf>
    <xf numFmtId="10" fontId="58" fillId="0" borderId="50" xfId="3" applyNumberFormat="1" applyFont="1" applyBorder="1" applyAlignment="1">
      <alignment vertical="top" wrapText="1"/>
    </xf>
    <xf numFmtId="10" fontId="58" fillId="0" borderId="51" xfId="3" applyNumberFormat="1" applyFont="1" applyBorder="1" applyAlignment="1">
      <alignment vertical="top" wrapText="1"/>
    </xf>
    <xf numFmtId="4" fontId="11" fillId="0" borderId="8" xfId="491" applyNumberFormat="1" applyFont="1" applyBorder="1" applyAlignment="1" applyProtection="1">
      <alignment vertical="center" wrapText="1"/>
    </xf>
    <xf numFmtId="4" fontId="11" fillId="7" borderId="8" xfId="3" applyNumberFormat="1" applyFont="1" applyFill="1" applyBorder="1" applyAlignment="1">
      <alignment vertical="top" wrapText="1"/>
    </xf>
    <xf numFmtId="4" fontId="19" fillId="0" borderId="0" xfId="490" applyNumberFormat="1"/>
    <xf numFmtId="10" fontId="1" fillId="0" borderId="0" xfId="359" applyNumberFormat="1" applyBorder="1" applyAlignment="1" applyProtection="1"/>
    <xf numFmtId="4" fontId="11" fillId="7" borderId="50" xfId="3" applyNumberFormat="1" applyFont="1" applyFill="1" applyBorder="1" applyAlignment="1">
      <alignment vertical="top" wrapText="1"/>
    </xf>
    <xf numFmtId="10" fontId="58" fillId="7" borderId="8" xfId="3" applyNumberFormat="1" applyFont="1" applyFill="1" applyBorder="1" applyAlignment="1">
      <alignment vertical="top" wrapText="1"/>
    </xf>
    <xf numFmtId="9" fontId="59" fillId="7" borderId="8" xfId="359" applyFont="1" applyFill="1" applyBorder="1" applyAlignment="1" applyProtection="1">
      <alignment horizontal="center" vertical="top" wrapText="1"/>
    </xf>
    <xf numFmtId="4" fontId="59" fillId="7" borderId="8" xfId="3" applyNumberFormat="1" applyFont="1" applyFill="1" applyBorder="1" applyAlignment="1">
      <alignment horizontal="center" vertical="top" wrapText="1"/>
    </xf>
    <xf numFmtId="0" fontId="16" fillId="7" borderId="0" xfId="3" applyFont="1" applyFill="1" applyBorder="1" applyAlignment="1">
      <alignment horizontal="center" vertical="center" wrapText="1"/>
    </xf>
    <xf numFmtId="4" fontId="16" fillId="7" borderId="0" xfId="3" applyNumberFormat="1" applyFont="1" applyFill="1" applyBorder="1" applyAlignment="1">
      <alignment horizontal="center" vertical="center" wrapText="1"/>
    </xf>
    <xf numFmtId="165" fontId="1" fillId="0" borderId="0" xfId="1" applyBorder="1" applyAlignment="1" applyProtection="1"/>
    <xf numFmtId="10" fontId="19" fillId="0" borderId="0" xfId="490" applyNumberFormat="1"/>
    <xf numFmtId="10" fontId="1" fillId="0" borderId="0" xfId="1" applyNumberFormat="1" applyBorder="1" applyAlignment="1" applyProtection="1"/>
    <xf numFmtId="10" fontId="58" fillId="0" borderId="55" xfId="3" applyNumberFormat="1" applyFont="1" applyBorder="1" applyAlignment="1">
      <alignment vertical="top" wrapText="1"/>
    </xf>
    <xf numFmtId="4" fontId="11" fillId="7" borderId="35" xfId="3" applyNumberFormat="1" applyFont="1" applyFill="1" applyBorder="1" applyAlignment="1">
      <alignment vertical="top" wrapText="1"/>
    </xf>
    <xf numFmtId="4" fontId="11" fillId="7" borderId="55" xfId="3" applyNumberFormat="1" applyFont="1" applyFill="1" applyBorder="1" applyAlignment="1">
      <alignment vertical="top" wrapText="1"/>
    </xf>
    <xf numFmtId="10" fontId="58" fillId="7" borderId="35" xfId="3" applyNumberFormat="1" applyFont="1" applyFill="1" applyBorder="1" applyAlignment="1">
      <alignment vertical="top" wrapText="1"/>
    </xf>
    <xf numFmtId="4" fontId="59" fillId="7" borderId="35" xfId="3" applyNumberFormat="1" applyFont="1" applyFill="1" applyBorder="1" applyAlignment="1">
      <alignment horizontal="center" vertical="top" wrapText="1"/>
    </xf>
    <xf numFmtId="0" fontId="16" fillId="7" borderId="43" xfId="3" applyFont="1" applyFill="1" applyBorder="1" applyAlignment="1">
      <alignment horizontal="center" vertical="center" wrapText="1"/>
    </xf>
    <xf numFmtId="0" fontId="16" fillId="7" borderId="44" xfId="3" applyFont="1" applyFill="1" applyBorder="1" applyAlignment="1">
      <alignment horizontal="center" vertical="center" wrapText="1"/>
    </xf>
    <xf numFmtId="0" fontId="16" fillId="15" borderId="57" xfId="3" applyFont="1" applyFill="1" applyBorder="1" applyAlignment="1">
      <alignment horizontal="center" vertical="center"/>
    </xf>
    <xf numFmtId="4" fontId="16" fillId="15" borderId="57" xfId="3" applyNumberFormat="1" applyFont="1" applyFill="1" applyBorder="1" applyAlignment="1">
      <alignment horizontal="center" vertical="center" wrapText="1"/>
    </xf>
    <xf numFmtId="0" fontId="16" fillId="15" borderId="57" xfId="3" applyFont="1" applyFill="1" applyBorder="1" applyAlignment="1">
      <alignment horizontal="center" vertical="center" wrapText="1"/>
    </xf>
    <xf numFmtId="0" fontId="16" fillId="15" borderId="59" xfId="3" applyFont="1" applyFill="1" applyBorder="1" applyAlignment="1">
      <alignment horizontal="center" vertical="center"/>
    </xf>
    <xf numFmtId="0" fontId="16" fillId="15" borderId="60" xfId="3" applyFont="1" applyFill="1" applyBorder="1" applyAlignment="1">
      <alignment horizontal="center" vertical="center"/>
    </xf>
    <xf numFmtId="0" fontId="60" fillId="7" borderId="63" xfId="0" applyFont="1" applyFill="1" applyBorder="1"/>
    <xf numFmtId="0" fontId="60" fillId="7" borderId="0" xfId="0" applyFont="1" applyFill="1"/>
    <xf numFmtId="0" fontId="60" fillId="0" borderId="0" xfId="0" applyFont="1"/>
    <xf numFmtId="0" fontId="60" fillId="7" borderId="65" xfId="0" applyFont="1" applyFill="1" applyBorder="1"/>
    <xf numFmtId="49" fontId="60" fillId="7" borderId="0" xfId="0" applyNumberFormat="1" applyFont="1" applyFill="1" applyAlignment="1">
      <alignment horizontal="left"/>
    </xf>
    <xf numFmtId="0" fontId="60" fillId="7" borderId="0" xfId="0" applyFont="1" applyFill="1" applyAlignment="1">
      <alignment wrapText="1"/>
    </xf>
    <xf numFmtId="0" fontId="60" fillId="7" borderId="0" xfId="0" applyFont="1" applyFill="1" applyAlignment="1">
      <alignment horizontal="center"/>
    </xf>
    <xf numFmtId="0" fontId="62" fillId="7" borderId="0" xfId="0" applyFont="1" applyFill="1" applyAlignment="1">
      <alignment horizontal="center"/>
    </xf>
    <xf numFmtId="0" fontId="62" fillId="7" borderId="66" xfId="0" applyFont="1" applyFill="1" applyBorder="1" applyAlignment="1">
      <alignment horizontal="center"/>
    </xf>
    <xf numFmtId="0" fontId="60" fillId="0" borderId="0" xfId="0" applyFont="1" applyAlignment="1">
      <alignment horizontal="center"/>
    </xf>
    <xf numFmtId="0" fontId="60" fillId="0" borderId="0" xfId="0" applyFont="1" applyAlignment="1">
      <alignment horizontal="left"/>
    </xf>
    <xf numFmtId="0" fontId="60" fillId="0" borderId="0" xfId="0" applyFont="1" applyAlignment="1">
      <alignment wrapText="1"/>
    </xf>
    <xf numFmtId="4" fontId="63" fillId="7" borderId="0" xfId="3" applyNumberFormat="1" applyFont="1" applyFill="1" applyAlignment="1">
      <alignment horizontal="center" vertical="center"/>
    </xf>
    <xf numFmtId="0" fontId="63" fillId="7" borderId="66" xfId="3" applyFont="1" applyFill="1" applyBorder="1" applyAlignment="1">
      <alignment horizontal="center" vertical="center"/>
    </xf>
    <xf numFmtId="0" fontId="63" fillId="7" borderId="0" xfId="3" applyFont="1" applyFill="1" applyAlignment="1">
      <alignment horizontal="center" vertical="center"/>
    </xf>
    <xf numFmtId="49" fontId="63" fillId="7" borderId="0" xfId="3" applyNumberFormat="1" applyFont="1" applyFill="1" applyAlignment="1">
      <alignment horizontal="left" vertical="center"/>
    </xf>
    <xf numFmtId="0" fontId="63" fillId="7" borderId="0" xfId="3" applyFont="1" applyFill="1" applyAlignment="1">
      <alignment vertical="center"/>
    </xf>
    <xf numFmtId="0" fontId="64" fillId="19" borderId="67" xfId="0" applyFont="1" applyFill="1" applyBorder="1" applyAlignment="1">
      <alignment vertical="center"/>
    </xf>
    <xf numFmtId="49" fontId="62" fillId="6" borderId="68" xfId="0" applyNumberFormat="1" applyFont="1" applyFill="1" applyBorder="1" applyAlignment="1" applyProtection="1">
      <alignment horizontal="center" vertical="center" wrapText="1"/>
      <protection locked="0"/>
    </xf>
    <xf numFmtId="49" fontId="62" fillId="6" borderId="68" xfId="0" applyNumberFormat="1" applyFont="1" applyFill="1" applyBorder="1" applyAlignment="1" applyProtection="1">
      <alignment vertical="center" wrapText="1"/>
      <protection locked="0"/>
    </xf>
    <xf numFmtId="0" fontId="62" fillId="0" borderId="68" xfId="0" applyFont="1" applyBorder="1" applyAlignment="1">
      <alignment horizontal="center" vertical="center" wrapText="1"/>
    </xf>
    <xf numFmtId="0" fontId="62" fillId="19" borderId="68" xfId="0" applyFont="1" applyFill="1" applyBorder="1" applyAlignment="1">
      <alignment horizontal="center" vertical="center" wrapText="1"/>
    </xf>
    <xf numFmtId="4" fontId="62" fillId="19" borderId="68" xfId="0" applyNumberFormat="1" applyFont="1" applyFill="1" applyBorder="1" applyAlignment="1">
      <alignment horizontal="center" vertical="center"/>
    </xf>
    <xf numFmtId="0" fontId="60" fillId="0" borderId="65" xfId="0" applyFont="1" applyBorder="1"/>
    <xf numFmtId="49" fontId="60" fillId="6" borderId="69" xfId="0" applyNumberFormat="1" applyFont="1" applyFill="1" applyBorder="1" applyAlignment="1" applyProtection="1">
      <alignment horizontal="center" wrapText="1"/>
      <protection locked="0"/>
    </xf>
    <xf numFmtId="0" fontId="60" fillId="0" borderId="69" xfId="0" applyFont="1" applyBorder="1" applyAlignment="1">
      <alignment wrapText="1"/>
    </xf>
    <xf numFmtId="0" fontId="60" fillId="0" borderId="69" xfId="0" applyFont="1" applyBorder="1" applyAlignment="1">
      <alignment horizontal="center" wrapText="1"/>
    </xf>
    <xf numFmtId="0" fontId="60" fillId="6" borderId="69" xfId="0" applyFont="1" applyFill="1" applyBorder="1" applyAlignment="1" applyProtection="1">
      <alignment horizontal="center" wrapText="1"/>
      <protection locked="0"/>
    </xf>
    <xf numFmtId="4" fontId="60" fillId="0" borderId="69" xfId="0" applyNumberFormat="1" applyFont="1" applyBorder="1" applyAlignment="1">
      <alignment horizontal="center"/>
    </xf>
    <xf numFmtId="0" fontId="60" fillId="0" borderId="66" xfId="0" applyFont="1" applyBorder="1"/>
    <xf numFmtId="49" fontId="63" fillId="7" borderId="0" xfId="3" applyNumberFormat="1" applyFont="1" applyFill="1" applyAlignment="1">
      <alignment horizontal="center" vertical="center"/>
    </xf>
    <xf numFmtId="0" fontId="64" fillId="19" borderId="68" xfId="0" applyFont="1" applyFill="1" applyBorder="1"/>
    <xf numFmtId="49" fontId="62" fillId="6" borderId="70" xfId="0" applyNumberFormat="1" applyFont="1" applyFill="1" applyBorder="1" applyAlignment="1" applyProtection="1">
      <alignment horizontal="center" wrapText="1"/>
      <protection locked="0"/>
    </xf>
    <xf numFmtId="49" fontId="62" fillId="6" borderId="70" xfId="0" applyNumberFormat="1" applyFont="1" applyFill="1" applyBorder="1" applyAlignment="1" applyProtection="1">
      <alignment wrapText="1"/>
      <protection locked="0"/>
    </xf>
    <xf numFmtId="0" fontId="62" fillId="0" borderId="70" xfId="0" applyFont="1" applyBorder="1" applyAlignment="1">
      <alignment horizontal="center"/>
    </xf>
    <xf numFmtId="0" fontId="62" fillId="19" borderId="70" xfId="0" applyFont="1" applyFill="1" applyBorder="1"/>
    <xf numFmtId="4" fontId="62" fillId="19" borderId="70" xfId="0" applyNumberFormat="1" applyFont="1" applyFill="1" applyBorder="1" applyAlignment="1">
      <alignment horizontal="center"/>
    </xf>
    <xf numFmtId="49" fontId="60" fillId="6" borderId="71" xfId="0" applyNumberFormat="1" applyFont="1" applyFill="1" applyBorder="1" applyAlignment="1" applyProtection="1">
      <alignment horizontal="center" wrapText="1"/>
      <protection locked="0"/>
    </xf>
    <xf numFmtId="0" fontId="60" fillId="0" borderId="71" xfId="0" applyFont="1" applyBorder="1" applyAlignment="1">
      <alignment horizontal="left" wrapText="1"/>
    </xf>
    <xf numFmtId="0" fontId="60" fillId="0" borderId="71" xfId="0" applyFont="1" applyBorder="1" applyAlignment="1">
      <alignment horizontal="center" wrapText="1"/>
    </xf>
    <xf numFmtId="0" fontId="60" fillId="6" borderId="71" xfId="0" applyFont="1" applyFill="1" applyBorder="1" applyAlignment="1" applyProtection="1">
      <alignment horizontal="center" wrapText="1"/>
      <protection locked="0"/>
    </xf>
    <xf numFmtId="4" fontId="60" fillId="0" borderId="71" xfId="0" applyNumberFormat="1" applyFont="1" applyBorder="1" applyAlignment="1">
      <alignment horizontal="center" wrapText="1"/>
    </xf>
    <xf numFmtId="0" fontId="60" fillId="0" borderId="74" xfId="0" applyFont="1" applyBorder="1"/>
    <xf numFmtId="0" fontId="60" fillId="0" borderId="75" xfId="0" applyFont="1" applyBorder="1"/>
    <xf numFmtId="11" fontId="54" fillId="7" borderId="1" xfId="489" applyNumberFormat="1" applyFont="1" applyFill="1" applyBorder="1" applyAlignment="1">
      <alignment horizontal="center" vertical="center" shrinkToFit="1"/>
    </xf>
    <xf numFmtId="11" fontId="55" fillId="7" borderId="0" xfId="489" applyNumberFormat="1" applyFont="1" applyFill="1" applyBorder="1" applyAlignment="1">
      <alignment horizontal="center" vertical="center" shrinkToFit="1"/>
    </xf>
    <xf numFmtId="0" fontId="1" fillId="0" borderId="24" xfId="0" applyFont="1" applyBorder="1" applyAlignment="1">
      <alignment horizontal="center"/>
    </xf>
    <xf numFmtId="0" fontId="1" fillId="0" borderId="25" xfId="0" applyFont="1" applyBorder="1" applyAlignment="1">
      <alignment horizontal="center"/>
    </xf>
    <xf numFmtId="0" fontId="1" fillId="0" borderId="43" xfId="0" applyFont="1" applyBorder="1" applyAlignment="1">
      <alignment horizontal="center"/>
    </xf>
    <xf numFmtId="0" fontId="1" fillId="0" borderId="0" xfId="0" applyFont="1" applyBorder="1" applyAlignment="1">
      <alignment horizontal="center"/>
    </xf>
    <xf numFmtId="0" fontId="14" fillId="6" borderId="42" xfId="0" applyFont="1" applyFill="1" applyBorder="1" applyAlignment="1">
      <alignment horizontal="right" vertical="center" wrapText="1"/>
    </xf>
    <xf numFmtId="0" fontId="14" fillId="6" borderId="6" xfId="0" applyFont="1" applyFill="1" applyBorder="1" applyAlignment="1">
      <alignment horizontal="right" vertical="center" wrapText="1"/>
    </xf>
    <xf numFmtId="0" fontId="16" fillId="7" borderId="45" xfId="3" applyFont="1" applyFill="1" applyBorder="1" applyAlignment="1">
      <alignment horizontal="center" wrapText="1"/>
    </xf>
    <xf numFmtId="0" fontId="16" fillId="7" borderId="10" xfId="3" applyFont="1" applyFill="1" applyBorder="1" applyAlignment="1">
      <alignment horizontal="center" wrapText="1"/>
    </xf>
    <xf numFmtId="0" fontId="16" fillId="7" borderId="46" xfId="3" applyFont="1" applyFill="1" applyBorder="1" applyAlignment="1">
      <alignment horizontal="center" wrapText="1"/>
    </xf>
    <xf numFmtId="0" fontId="2" fillId="0" borderId="26" xfId="0" applyFont="1" applyBorder="1" applyAlignment="1">
      <alignment horizontal="center"/>
    </xf>
    <xf numFmtId="0" fontId="2" fillId="0" borderId="2" xfId="0" applyFont="1" applyBorder="1" applyAlignment="1">
      <alignment horizontal="center"/>
    </xf>
    <xf numFmtId="0" fontId="2" fillId="0" borderId="27" xfId="0" applyFont="1" applyBorder="1" applyAlignment="1">
      <alignment horizontal="center"/>
    </xf>
    <xf numFmtId="0" fontId="3" fillId="2" borderId="28"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9" xfId="0" applyFont="1" applyFill="1" applyBorder="1" applyAlignment="1">
      <alignment horizontal="center" vertical="center"/>
    </xf>
    <xf numFmtId="0" fontId="4" fillId="0" borderId="32" xfId="0" applyFont="1" applyBorder="1" applyAlignment="1">
      <alignment horizontal="left" vertical="center"/>
    </xf>
    <xf numFmtId="0" fontId="4" fillId="0" borderId="5" xfId="0" applyFont="1" applyBorder="1" applyAlignment="1">
      <alignment horizontal="left" vertical="center"/>
    </xf>
    <xf numFmtId="0" fontId="4" fillId="0" borderId="33" xfId="0" applyFont="1" applyBorder="1" applyAlignment="1">
      <alignment horizontal="left" vertical="center"/>
    </xf>
    <xf numFmtId="0" fontId="16" fillId="0" borderId="34" xfId="0" applyFont="1" applyBorder="1" applyAlignment="1">
      <alignment horizontal="left" vertical="center"/>
    </xf>
    <xf numFmtId="0" fontId="16" fillId="0" borderId="23" xfId="0" applyFont="1" applyBorder="1" applyAlignment="1">
      <alignment horizontal="left" vertical="center"/>
    </xf>
    <xf numFmtId="164" fontId="4" fillId="0" borderId="22" xfId="0" applyNumberFormat="1" applyFont="1" applyBorder="1" applyAlignment="1">
      <alignment horizontal="left" vertical="center"/>
    </xf>
    <xf numFmtId="164" fontId="4" fillId="0" borderId="35" xfId="0" applyNumberFormat="1" applyFont="1" applyBorder="1" applyAlignment="1">
      <alignment horizontal="left" vertical="center"/>
    </xf>
    <xf numFmtId="0" fontId="4" fillId="0" borderId="36" xfId="0" applyFont="1" applyBorder="1" applyAlignment="1">
      <alignment horizontal="left" vertical="center" wrapText="1"/>
    </xf>
    <xf numFmtId="0" fontId="4" fillId="0" borderId="21" xfId="0" applyFont="1" applyBorder="1" applyAlignment="1">
      <alignment horizontal="left" vertical="center" wrapText="1"/>
    </xf>
    <xf numFmtId="0" fontId="1" fillId="7" borderId="43" xfId="3" applyFont="1" applyFill="1" applyBorder="1" applyAlignment="1">
      <alignment horizontal="center" wrapText="1"/>
    </xf>
    <xf numFmtId="0" fontId="1" fillId="7" borderId="0" xfId="3" applyFont="1" applyFill="1" applyBorder="1" applyAlignment="1">
      <alignment horizontal="center" wrapText="1"/>
    </xf>
    <xf numFmtId="0" fontId="1" fillId="7" borderId="44" xfId="3" applyFont="1" applyFill="1" applyBorder="1" applyAlignment="1">
      <alignment horizontal="center" wrapText="1"/>
    </xf>
    <xf numFmtId="0" fontId="18" fillId="0" borderId="47" xfId="0" applyFont="1" applyBorder="1" applyAlignment="1">
      <alignment horizontal="right" vertical="center"/>
    </xf>
    <xf numFmtId="0" fontId="18" fillId="0" borderId="48" xfId="0" applyFont="1" applyBorder="1" applyAlignment="1">
      <alignment horizontal="right" vertical="center"/>
    </xf>
    <xf numFmtId="0" fontId="18" fillId="0" borderId="49" xfId="0" applyFont="1" applyBorder="1" applyAlignment="1">
      <alignment horizontal="right" vertical="center"/>
    </xf>
    <xf numFmtId="0" fontId="18" fillId="0" borderId="0" xfId="0" applyFont="1" applyBorder="1" applyAlignment="1">
      <alignment horizontal="left" vertical="center"/>
    </xf>
    <xf numFmtId="0" fontId="4" fillId="0" borderId="21" xfId="0" applyFont="1" applyBorder="1" applyAlignment="1">
      <alignment horizontal="center" vertical="center"/>
    </xf>
    <xf numFmtId="0" fontId="4" fillId="0" borderId="21" xfId="0" applyFont="1" applyBorder="1" applyAlignment="1">
      <alignment horizontal="left" vertical="center"/>
    </xf>
    <xf numFmtId="0" fontId="4" fillId="0" borderId="2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7" xfId="0" applyFont="1" applyBorder="1" applyAlignment="1">
      <alignment horizontal="center" vertical="center" wrapText="1"/>
    </xf>
    <xf numFmtId="0" fontId="6" fillId="3" borderId="8" xfId="0" applyFont="1" applyFill="1" applyBorder="1" applyAlignment="1">
      <alignment horizontal="center" vertical="center"/>
    </xf>
    <xf numFmtId="10" fontId="4" fillId="0" borderId="38" xfId="0" applyNumberFormat="1" applyFont="1" applyBorder="1" applyAlignment="1">
      <alignment horizontal="center" vertical="center"/>
    </xf>
    <xf numFmtId="10" fontId="4" fillId="0" borderId="39" xfId="0" applyNumberFormat="1" applyFont="1" applyBorder="1" applyAlignment="1">
      <alignment horizontal="center" vertical="center"/>
    </xf>
    <xf numFmtId="49" fontId="1" fillId="7" borderId="56" xfId="3" applyNumberFormat="1" applyFont="1" applyFill="1" applyBorder="1" applyAlignment="1">
      <alignment horizontal="center" vertical="center" wrapText="1"/>
    </xf>
    <xf numFmtId="0" fontId="1" fillId="7" borderId="50" xfId="3" applyNumberFormat="1" applyFont="1" applyFill="1" applyBorder="1" applyAlignment="1">
      <alignment horizontal="left" vertical="center" wrapText="1"/>
    </xf>
    <xf numFmtId="0" fontId="56" fillId="2" borderId="52" xfId="3" applyFont="1" applyFill="1" applyBorder="1" applyAlignment="1">
      <alignment horizontal="center" vertical="center"/>
    </xf>
    <xf numFmtId="0" fontId="56" fillId="2" borderId="53" xfId="3" applyFont="1" applyFill="1" applyBorder="1" applyAlignment="1">
      <alignment horizontal="center" vertical="center"/>
    </xf>
    <xf numFmtId="0" fontId="56" fillId="2" borderId="54" xfId="3" applyFont="1" applyFill="1" applyBorder="1" applyAlignment="1">
      <alignment horizontal="center" vertical="center"/>
    </xf>
    <xf numFmtId="0" fontId="16" fillId="7" borderId="45" xfId="3" applyNumberFormat="1" applyFont="1" applyFill="1" applyBorder="1" applyAlignment="1">
      <alignment horizontal="center" vertical="center"/>
    </xf>
    <xf numFmtId="0" fontId="16" fillId="7" borderId="10" xfId="3" applyNumberFormat="1" applyFont="1" applyFill="1" applyBorder="1" applyAlignment="1">
      <alignment horizontal="center" vertical="center"/>
    </xf>
    <xf numFmtId="0" fontId="16" fillId="7" borderId="46" xfId="3" applyNumberFormat="1" applyFont="1" applyFill="1" applyBorder="1" applyAlignment="1">
      <alignment horizontal="center" vertical="center"/>
    </xf>
    <xf numFmtId="0" fontId="1" fillId="7" borderId="8" xfId="3" applyNumberFormat="1" applyFont="1" applyFill="1" applyBorder="1" applyAlignment="1">
      <alignment horizontal="left" vertical="center" wrapText="1"/>
    </xf>
    <xf numFmtId="0" fontId="18" fillId="0" borderId="26" xfId="0" applyFont="1" applyBorder="1" applyAlignment="1">
      <alignment horizontal="right" vertical="center"/>
    </xf>
    <xf numFmtId="0" fontId="18" fillId="0" borderId="2" xfId="0" applyFont="1" applyBorder="1" applyAlignment="1">
      <alignment horizontal="right" vertical="center"/>
    </xf>
    <xf numFmtId="0" fontId="18" fillId="0" borderId="27" xfId="0" applyFont="1" applyBorder="1" applyAlignment="1">
      <alignment horizontal="right" vertical="center"/>
    </xf>
    <xf numFmtId="0" fontId="16" fillId="7" borderId="42" xfId="3" applyFont="1" applyFill="1" applyBorder="1" applyAlignment="1">
      <alignment horizontal="center" vertical="center" wrapText="1"/>
    </xf>
    <xf numFmtId="0" fontId="16" fillId="7" borderId="6" xfId="3" applyFont="1" applyFill="1" applyBorder="1" applyAlignment="1">
      <alignment horizontal="center" vertical="center" wrapText="1"/>
    </xf>
    <xf numFmtId="0" fontId="16" fillId="7" borderId="61" xfId="3" applyFont="1" applyFill="1" applyBorder="1" applyAlignment="1">
      <alignment horizontal="center" vertical="center" wrapText="1"/>
    </xf>
    <xf numFmtId="0" fontId="16" fillId="7" borderId="58" xfId="3" applyFont="1" applyFill="1" applyBorder="1" applyAlignment="1">
      <alignment horizontal="center" vertical="center" wrapText="1"/>
    </xf>
    <xf numFmtId="0" fontId="16" fillId="7" borderId="62" xfId="3" applyFont="1" applyFill="1" applyBorder="1" applyAlignment="1">
      <alignment horizontal="center" vertical="center" wrapText="1"/>
    </xf>
    <xf numFmtId="0" fontId="16" fillId="7" borderId="43" xfId="3" applyFont="1" applyFill="1" applyBorder="1" applyAlignment="1">
      <alignment horizontal="center" wrapText="1"/>
    </xf>
    <xf numFmtId="0" fontId="16" fillId="7" borderId="0" xfId="3" applyFont="1" applyFill="1" applyBorder="1" applyAlignment="1">
      <alignment horizontal="center" wrapText="1"/>
    </xf>
    <xf numFmtId="0" fontId="16" fillId="7" borderId="44" xfId="3" applyFont="1" applyFill="1" applyBorder="1" applyAlignment="1">
      <alignment horizontal="center" wrapText="1"/>
    </xf>
    <xf numFmtId="0" fontId="61" fillId="7" borderId="64" xfId="0" applyFont="1" applyFill="1" applyBorder="1" applyAlignment="1">
      <alignment horizontal="center" vertical="center"/>
    </xf>
    <xf numFmtId="0" fontId="60" fillId="0" borderId="72" xfId="0" applyFont="1" applyBorder="1" applyAlignment="1">
      <alignment horizontal="right"/>
    </xf>
    <xf numFmtId="49" fontId="60" fillId="6" borderId="73" xfId="0" applyNumberFormat="1" applyFont="1" applyFill="1" applyBorder="1" applyAlignment="1" applyProtection="1">
      <alignment horizontal="center"/>
      <protection locked="0"/>
    </xf>
    <xf numFmtId="0" fontId="60" fillId="0" borderId="75" xfId="0" applyFont="1" applyBorder="1" applyAlignment="1">
      <alignment horizontal="right"/>
    </xf>
    <xf numFmtId="49" fontId="60" fillId="6" borderId="76" xfId="0" applyNumberFormat="1" applyFont="1" applyFill="1" applyBorder="1" applyAlignment="1" applyProtection="1">
      <alignment horizontal="center"/>
      <protection locked="0"/>
    </xf>
    <xf numFmtId="0" fontId="65" fillId="35" borderId="42" xfId="0" applyFont="1" applyFill="1" applyBorder="1" applyAlignment="1">
      <alignment horizontal="center" vertical="center" wrapText="1"/>
    </xf>
    <xf numFmtId="0" fontId="66" fillId="35" borderId="8" xfId="0" applyFont="1" applyFill="1" applyBorder="1" applyAlignment="1">
      <alignment horizontal="center" vertical="center"/>
    </xf>
    <xf numFmtId="0" fontId="65" fillId="35" borderId="8" xfId="0" applyFont="1" applyFill="1" applyBorder="1" applyAlignment="1">
      <alignment vertical="center" wrapText="1"/>
    </xf>
    <xf numFmtId="0" fontId="65" fillId="35" borderId="8" xfId="2" applyFont="1" applyFill="1" applyBorder="1" applyAlignment="1">
      <alignment horizontal="center" vertical="center"/>
    </xf>
    <xf numFmtId="4" fontId="65" fillId="35" borderId="8" xfId="0" applyNumberFormat="1" applyFont="1" applyFill="1" applyBorder="1" applyAlignment="1">
      <alignment horizontal="right" vertical="center" wrapText="1"/>
    </xf>
    <xf numFmtId="4" fontId="65" fillId="35" borderId="35" xfId="0" applyNumberFormat="1" applyFont="1" applyFill="1" applyBorder="1" applyAlignment="1">
      <alignment horizontal="right" vertical="center" wrapText="1"/>
    </xf>
    <xf numFmtId="49" fontId="65" fillId="35" borderId="8" xfId="1" applyNumberFormat="1" applyFont="1" applyFill="1" applyBorder="1" applyAlignment="1" applyProtection="1">
      <alignment horizontal="center" vertical="center" wrapText="1"/>
    </xf>
  </cellXfs>
  <cellStyles count="492">
    <cellStyle name="20% - Accent1" xfId="4"/>
    <cellStyle name="20% - Accent1 2" xfId="5"/>
    <cellStyle name="20% - Accent1_PLANILHA DE MEDIÇÃO" xfId="6"/>
    <cellStyle name="20% - Accent2" xfId="7"/>
    <cellStyle name="20% - Accent2 2" xfId="8"/>
    <cellStyle name="20% - Accent2_PLANILHA DE MEDIÇÃO" xfId="9"/>
    <cellStyle name="20% - Accent3" xfId="10"/>
    <cellStyle name="20% - Accent3 2" xfId="11"/>
    <cellStyle name="20% - Accent3_PLANILHA DE MEDIÇÃO" xfId="12"/>
    <cellStyle name="20% - Accent4" xfId="13"/>
    <cellStyle name="20% - Accent4 2" xfId="14"/>
    <cellStyle name="20% - Accent4_34.3 - Rua Piaui_Joa" xfId="15"/>
    <cellStyle name="20% - Accent5" xfId="16"/>
    <cellStyle name="20% - Accent5 2" xfId="17"/>
    <cellStyle name="20% - Accent5_PLANILHA DE MEDIÇÃO" xfId="18"/>
    <cellStyle name="20% - Accent6" xfId="19"/>
    <cellStyle name="20% - Accent6 2" xfId="20"/>
    <cellStyle name="20% - Accent6_34.3 - Rua Piaui_Joa" xfId="21"/>
    <cellStyle name="20% - Ênfase1 2" xfId="22"/>
    <cellStyle name="20% - Ênfase1 2 2" xfId="23"/>
    <cellStyle name="20% - Ênfase1 3" xfId="24"/>
    <cellStyle name="20% - Ênfase1 3 2" xfId="25"/>
    <cellStyle name="20% - Ênfase2 2" xfId="26"/>
    <cellStyle name="20% - Ênfase2 2 2" xfId="27"/>
    <cellStyle name="20% - Ênfase2 3" xfId="28"/>
    <cellStyle name="20% - Ênfase2 3 2" xfId="29"/>
    <cellStyle name="20% - Ênfase3 2" xfId="30"/>
    <cellStyle name="20% - Ênfase3 2 2" xfId="31"/>
    <cellStyle name="20% - Ênfase3 3" xfId="32"/>
    <cellStyle name="20% - Ênfase3 3 2" xfId="33"/>
    <cellStyle name="20% - Ênfase4 2" xfId="34"/>
    <cellStyle name="20% - Ênfase4 2 2" xfId="35"/>
    <cellStyle name="20% - Ênfase4 3" xfId="36"/>
    <cellStyle name="20% - Ênfase4 3 2" xfId="37"/>
    <cellStyle name="20% - Ênfase5 2" xfId="38"/>
    <cellStyle name="20% - Ênfase5 2 2" xfId="39"/>
    <cellStyle name="20% - Ênfase5 3" xfId="40"/>
    <cellStyle name="20% - Ênfase5 3 2" xfId="41"/>
    <cellStyle name="20% - Ênfase6 2" xfId="42"/>
    <cellStyle name="20% - Ênfase6 2 2" xfId="43"/>
    <cellStyle name="20% - Ênfase6 3" xfId="44"/>
    <cellStyle name="20% - Ênfase6 3 2" xfId="45"/>
    <cellStyle name="40% - Accent1" xfId="46"/>
    <cellStyle name="40% - Accent1 2" xfId="47"/>
    <cellStyle name="40% - Accent1_PLANILHA DE MEDIÇÃO" xfId="48"/>
    <cellStyle name="40% - Accent2" xfId="49"/>
    <cellStyle name="40% - Accent2 2" xfId="50"/>
    <cellStyle name="40% - Accent2_PLANILHA DE MEDIÇÃO" xfId="51"/>
    <cellStyle name="40% - Accent3" xfId="52"/>
    <cellStyle name="40% - Accent3 2" xfId="53"/>
    <cellStyle name="40% - Accent3_PLANILHA DE MEDIÇÃO" xfId="54"/>
    <cellStyle name="40% - Accent4" xfId="55"/>
    <cellStyle name="40% - Accent4 2" xfId="56"/>
    <cellStyle name="40% - Accent4_34.3 - Rua Piaui_Joa" xfId="57"/>
    <cellStyle name="40% - Accent5" xfId="58"/>
    <cellStyle name="40% - Accent5 2" xfId="59"/>
    <cellStyle name="40% - Accent5_PLANILHA DE MEDIÇÃO" xfId="60"/>
    <cellStyle name="40% - Accent6" xfId="61"/>
    <cellStyle name="40% - Accent6 2" xfId="62"/>
    <cellStyle name="40% - Accent6_34.3 - Rua Piaui_Joa" xfId="63"/>
    <cellStyle name="40% - Ênfase1 2" xfId="64"/>
    <cellStyle name="40% - Ênfase1 2 2" xfId="65"/>
    <cellStyle name="40% - Ênfase1 3" xfId="66"/>
    <cellStyle name="40% - Ênfase1 3 2" xfId="67"/>
    <cellStyle name="40% - Ênfase2 2" xfId="68"/>
    <cellStyle name="40% - Ênfase2 2 2" xfId="69"/>
    <cellStyle name="40% - Ênfase2 3" xfId="70"/>
    <cellStyle name="40% - Ênfase2 3 2" xfId="71"/>
    <cellStyle name="40% - Ênfase3 2" xfId="72"/>
    <cellStyle name="40% - Ênfase3 2 2" xfId="73"/>
    <cellStyle name="40% - Ênfase3 3" xfId="74"/>
    <cellStyle name="40% - Ênfase3 3 2" xfId="75"/>
    <cellStyle name="40% - Ênfase4 2" xfId="76"/>
    <cellStyle name="40% - Ênfase4 2 2" xfId="77"/>
    <cellStyle name="40% - Ênfase4 3" xfId="78"/>
    <cellStyle name="40% - Ênfase4 3 2" xfId="79"/>
    <cellStyle name="40% - Ênfase5 2" xfId="80"/>
    <cellStyle name="40% - Ênfase5 2 2" xfId="81"/>
    <cellStyle name="40% - Ênfase5 3" xfId="82"/>
    <cellStyle name="40% - Ênfase5 3 2" xfId="83"/>
    <cellStyle name="40% - Ênfase6 2" xfId="84"/>
    <cellStyle name="40% - Ênfase6 2 2" xfId="85"/>
    <cellStyle name="40% - Ênfase6 3" xfId="86"/>
    <cellStyle name="40% - Ênfase6 3 2" xfId="87"/>
    <cellStyle name="60% - Accent1" xfId="88"/>
    <cellStyle name="60% - Accent1 2" xfId="89"/>
    <cellStyle name="60% - Accent1_PLANILHA DE MEDIÇÃO" xfId="90"/>
    <cellStyle name="60% - Accent2" xfId="91"/>
    <cellStyle name="60% - Accent2 2" xfId="92"/>
    <cellStyle name="60% - Accent2_PLANILHA DE MEDIÇÃO" xfId="93"/>
    <cellStyle name="60% - Accent3" xfId="94"/>
    <cellStyle name="60% - Accent3 2" xfId="95"/>
    <cellStyle name="60% - Accent3_PLANILHA DE MEDIÇÃO" xfId="96"/>
    <cellStyle name="60% - Accent4" xfId="97"/>
    <cellStyle name="60% - Accent4 2" xfId="98"/>
    <cellStyle name="60% - Accent4_PLANILHA DE MEDIÇÃO" xfId="99"/>
    <cellStyle name="60% - Accent5" xfId="100"/>
    <cellStyle name="60% - Accent5 2" xfId="101"/>
    <cellStyle name="60% - Accent5_PLANILHA DE MEDIÇÃO" xfId="102"/>
    <cellStyle name="60% - Accent6" xfId="103"/>
    <cellStyle name="60% - Accent6 2" xfId="104"/>
    <cellStyle name="60% - Accent6_34.3 - Rua Piaui_Joa" xfId="105"/>
    <cellStyle name="60% - Ênfase1 2" xfId="106"/>
    <cellStyle name="60% - Ênfase1 2 2" xfId="107"/>
    <cellStyle name="60% - Ênfase1 3" xfId="108"/>
    <cellStyle name="60% - Ênfase1 3 2" xfId="109"/>
    <cellStyle name="60% - Ênfase2 2" xfId="110"/>
    <cellStyle name="60% - Ênfase2 2 2" xfId="111"/>
    <cellStyle name="60% - Ênfase2 3" xfId="112"/>
    <cellStyle name="60% - Ênfase2 3 2" xfId="113"/>
    <cellStyle name="60% - Ênfase3 2" xfId="114"/>
    <cellStyle name="60% - Ênfase3 2 2" xfId="115"/>
    <cellStyle name="60% - Ênfase3 3" xfId="116"/>
    <cellStyle name="60% - Ênfase3 3 2" xfId="117"/>
    <cellStyle name="60% - Ênfase4 2" xfId="118"/>
    <cellStyle name="60% - Ênfase4 2 2" xfId="119"/>
    <cellStyle name="60% - Ênfase4 3" xfId="120"/>
    <cellStyle name="60% - Ênfase4 3 2" xfId="121"/>
    <cellStyle name="60% - Ênfase5 2" xfId="122"/>
    <cellStyle name="60% - Ênfase5 2 2" xfId="123"/>
    <cellStyle name="60% - Ênfase5 3" xfId="124"/>
    <cellStyle name="60% - Ênfase5 3 2" xfId="125"/>
    <cellStyle name="60% - Ênfase6 2" xfId="126"/>
    <cellStyle name="60% - Ênfase6 2 2" xfId="127"/>
    <cellStyle name="60% - Ênfase6 3" xfId="128"/>
    <cellStyle name="60% - Ênfase6 3 2" xfId="129"/>
    <cellStyle name="Accent 1 1" xfId="130"/>
    <cellStyle name="Accent 1 2" xfId="131"/>
    <cellStyle name="Accent 2 1" xfId="132"/>
    <cellStyle name="Accent 2 2" xfId="133"/>
    <cellStyle name="Accent 3 1" xfId="134"/>
    <cellStyle name="Accent 3 2" xfId="135"/>
    <cellStyle name="Accent 4" xfId="136"/>
    <cellStyle name="Accent 5" xfId="137"/>
    <cellStyle name="Accent_Planilha Orçamentária - Conde Dolabela - Gustavo Barbi" xfId="138"/>
    <cellStyle name="Accent1" xfId="139"/>
    <cellStyle name="Accent1 2" xfId="140"/>
    <cellStyle name="Accent1_PLANILHA DE MEDIÇÃO" xfId="141"/>
    <cellStyle name="Accent2" xfId="142"/>
    <cellStyle name="Accent2 2" xfId="143"/>
    <cellStyle name="Accent2_34.3 - Rua Piaui_Joa" xfId="144"/>
    <cellStyle name="Accent3" xfId="145"/>
    <cellStyle name="Accent3 2" xfId="146"/>
    <cellStyle name="Accent3_PLANILHA DE MEDIÇÃO" xfId="147"/>
    <cellStyle name="Accent4" xfId="148"/>
    <cellStyle name="Accent4 2" xfId="149"/>
    <cellStyle name="Accent4_PLANILHA DE MEDIÇÃO" xfId="150"/>
    <cellStyle name="Accent5" xfId="151"/>
    <cellStyle name="Accent5 2" xfId="152"/>
    <cellStyle name="Accent5_PLANILHA DE MEDIÇÃO" xfId="153"/>
    <cellStyle name="Accent6" xfId="154"/>
    <cellStyle name="Accent6 2" xfId="155"/>
    <cellStyle name="Accent6_PLANILHA DE MEDIÇÃO" xfId="156"/>
    <cellStyle name="Bad 1" xfId="157"/>
    <cellStyle name="Bad 2" xfId="158"/>
    <cellStyle name="Bad 2 2" xfId="159"/>
    <cellStyle name="Bad 3" xfId="160"/>
    <cellStyle name="Bad_34.3 - Rua Piaui_Joa" xfId="161"/>
    <cellStyle name="Bom 2" xfId="162"/>
    <cellStyle name="Bom 2 2" xfId="163"/>
    <cellStyle name="Bom 3" xfId="164"/>
    <cellStyle name="Bom 3 2" xfId="165"/>
    <cellStyle name="Bom 4" xfId="166"/>
    <cellStyle name="Calculation" xfId="167"/>
    <cellStyle name="Calculation 2" xfId="168"/>
    <cellStyle name="Calculation_ALAMEDA WARMING - MEMÓRIA" xfId="169"/>
    <cellStyle name="Cálculo 2" xfId="170"/>
    <cellStyle name="Cálculo 2 2" xfId="171"/>
    <cellStyle name="Cálculo 3" xfId="172"/>
    <cellStyle name="Cálculo 3 2" xfId="173"/>
    <cellStyle name="Cálculo 3_ALAMEDA WARMING - MEMÓRIA" xfId="174"/>
    <cellStyle name="Cancel" xfId="175"/>
    <cellStyle name="Cancel 2" xfId="176"/>
    <cellStyle name="Cancel 3" xfId="177"/>
    <cellStyle name="Célula de Verificação 2" xfId="178"/>
    <cellStyle name="Célula de Verificação 2 2" xfId="179"/>
    <cellStyle name="Célula de Verificação 3" xfId="180"/>
    <cellStyle name="Célula de Verificação 3 2" xfId="181"/>
    <cellStyle name="Célula de Verificação 3_Planilha Orçamentária - DRENAGEM - OUTROS - R1" xfId="182"/>
    <cellStyle name="Célula Vinculada 2" xfId="183"/>
    <cellStyle name="Célula Vinculada 2 2" xfId="184"/>
    <cellStyle name="Célula Vinculada 2_Planilha Orçamentária - DRENAGEM - OUTROS - R1" xfId="185"/>
    <cellStyle name="Célula Vinculada 3" xfId="186"/>
    <cellStyle name="Célula Vinculada 3 2" xfId="187"/>
    <cellStyle name="Célula Vinculada 3_Planilha Orçamentária - DRENAGEM - OUTROS - R1" xfId="188"/>
    <cellStyle name="Check Cell" xfId="189"/>
    <cellStyle name="Check Cell 2" xfId="190"/>
    <cellStyle name="Check Cell_PLANILHA DE MEDIÇÃO" xfId="191"/>
    <cellStyle name="Data" xfId="192"/>
    <cellStyle name="Data 2" xfId="193"/>
    <cellStyle name="Data 2 2" xfId="194"/>
    <cellStyle name="Data_Planilha Orçamentária - Conde Dolabela - Gustavo Barbi" xfId="195"/>
    <cellStyle name="Ênfase1 2" xfId="196"/>
    <cellStyle name="Ênfase1 2 2" xfId="197"/>
    <cellStyle name="Ênfase1 3" xfId="198"/>
    <cellStyle name="Ênfase1 3 2" xfId="199"/>
    <cellStyle name="Ênfase2 2" xfId="200"/>
    <cellStyle name="Ênfase2 2 2" xfId="201"/>
    <cellStyle name="Ênfase2 3" xfId="202"/>
    <cellStyle name="Ênfase2 3 2" xfId="203"/>
    <cellStyle name="Ênfase3 2" xfId="204"/>
    <cellStyle name="Ênfase3 2 2" xfId="205"/>
    <cellStyle name="Ênfase3 3" xfId="206"/>
    <cellStyle name="Ênfase3 3 2" xfId="207"/>
    <cellStyle name="Ênfase4 2" xfId="208"/>
    <cellStyle name="Ênfase4 2 2" xfId="209"/>
    <cellStyle name="Ênfase4 3" xfId="210"/>
    <cellStyle name="Ênfase4 3 2" xfId="211"/>
    <cellStyle name="Ênfase5 2" xfId="212"/>
    <cellStyle name="Ênfase5 2 2" xfId="213"/>
    <cellStyle name="Ênfase5 3" xfId="214"/>
    <cellStyle name="Ênfase5 3 2" xfId="215"/>
    <cellStyle name="Ênfase6 2" xfId="216"/>
    <cellStyle name="Ênfase6 2 2" xfId="217"/>
    <cellStyle name="Ênfase6 3" xfId="218"/>
    <cellStyle name="Ênfase6 3 2" xfId="219"/>
    <cellStyle name="Entrada 2" xfId="220"/>
    <cellStyle name="Entrada 2 2" xfId="221"/>
    <cellStyle name="Entrada 3" xfId="222"/>
    <cellStyle name="Entrada 3 2" xfId="223"/>
    <cellStyle name="Entrada 3_ALAMEDA WARMING - MEMÓRIA" xfId="224"/>
    <cellStyle name="Error 1" xfId="225"/>
    <cellStyle name="Error 2" xfId="226"/>
    <cellStyle name="Explanatory Text" xfId="227"/>
    <cellStyle name="Fixo" xfId="228"/>
    <cellStyle name="Fixo 2" xfId="229"/>
    <cellStyle name="Fixo 2 2" xfId="230"/>
    <cellStyle name="Fixo_Planilha Orçamentária - Conde Dolabela - Gustavo Barbi" xfId="231"/>
    <cellStyle name="Footnote 1" xfId="232"/>
    <cellStyle name="Footnote 2" xfId="233"/>
    <cellStyle name="Good 1" xfId="234"/>
    <cellStyle name="Good 2" xfId="235"/>
    <cellStyle name="Good 2 2" xfId="236"/>
    <cellStyle name="Good_34.3 - Rua Piaui_Joa" xfId="237"/>
    <cellStyle name="Heading 1 1" xfId="238"/>
    <cellStyle name="Heading 1 2" xfId="239"/>
    <cellStyle name="Heading 1 2 2" xfId="240"/>
    <cellStyle name="Heading 1 2_ALAMEDA WARMING - MEMÓRIA" xfId="241"/>
    <cellStyle name="Heading 1_34.3 - Rua Piaui_Joa" xfId="242"/>
    <cellStyle name="Heading 2 1" xfId="243"/>
    <cellStyle name="Heading 2 2" xfId="244"/>
    <cellStyle name="Heading 2 2 2" xfId="245"/>
    <cellStyle name="Heading 2 2_ALAMEDA WARMING - MEMÓRIA" xfId="246"/>
    <cellStyle name="Heading 2_34.3 - Rua Piaui_Joa" xfId="247"/>
    <cellStyle name="Heading 3" xfId="248"/>
    <cellStyle name="Heading 4" xfId="249"/>
    <cellStyle name="Heading 5" xfId="250"/>
    <cellStyle name="Heading 6" xfId="251"/>
    <cellStyle name="Heading_Planilha Orçamentária - Conde Dolabela - Gustavo Barbi" xfId="252"/>
    <cellStyle name="Hiperlink 2" xfId="253"/>
    <cellStyle name="Incorreto 2" xfId="254"/>
    <cellStyle name="Incorreto 2 2" xfId="255"/>
    <cellStyle name="Incorreto 3" xfId="256"/>
    <cellStyle name="Incorreto 3 2" xfId="257"/>
    <cellStyle name="Input" xfId="258"/>
    <cellStyle name="Input 2" xfId="259"/>
    <cellStyle name="Input_34.3 - Rua Piaui_Joa" xfId="260"/>
    <cellStyle name="Linked Cell" xfId="261"/>
    <cellStyle name="Moeda 10" xfId="262"/>
    <cellStyle name="Moeda 11" xfId="263"/>
    <cellStyle name="Moeda 2" xfId="264"/>
    <cellStyle name="Moeda 2 2" xfId="265"/>
    <cellStyle name="Moeda 2 2 2" xfId="266"/>
    <cellStyle name="Moeda 2 2 3" xfId="267"/>
    <cellStyle name="Moeda 2 2 4" xfId="268"/>
    <cellStyle name="Moeda 2 3" xfId="269"/>
    <cellStyle name="Moeda 2 4" xfId="270"/>
    <cellStyle name="Moeda 2_ÁLVARO JOSÉ DOS SANTOS" xfId="271"/>
    <cellStyle name="Moeda 3" xfId="272"/>
    <cellStyle name="Moeda 3 2" xfId="273"/>
    <cellStyle name="Moeda 3 2 2" xfId="274"/>
    <cellStyle name="Moeda 4" xfId="275"/>
    <cellStyle name="Moeda 4 2" xfId="276"/>
    <cellStyle name="Moeda 5" xfId="277"/>
    <cellStyle name="Moeda 5 2" xfId="278"/>
    <cellStyle name="Moeda 6" xfId="279"/>
    <cellStyle name="Moeda 6 2" xfId="280"/>
    <cellStyle name="Moeda 7" xfId="281"/>
    <cellStyle name="Moeda 7 2" xfId="282"/>
    <cellStyle name="Moeda 8" xfId="283"/>
    <cellStyle name="Moeda 9" xfId="284"/>
    <cellStyle name="Neutra 2" xfId="285"/>
    <cellStyle name="Neutra 2 2" xfId="286"/>
    <cellStyle name="Neutra 3" xfId="287"/>
    <cellStyle name="Neutra 3 2" xfId="288"/>
    <cellStyle name="Neutra 4" xfId="289"/>
    <cellStyle name="Neutral 1" xfId="290"/>
    <cellStyle name="Neutral 2" xfId="291"/>
    <cellStyle name="Neutral 2 2" xfId="292"/>
    <cellStyle name="Neutral_34.3 - Rua Piaui_Joa" xfId="293"/>
    <cellStyle name="Neutro" xfId="294"/>
    <cellStyle name="Normal" xfId="0" builtinId="0"/>
    <cellStyle name="Normal 10" xfId="295"/>
    <cellStyle name="Normal 11" xfId="296"/>
    <cellStyle name="Normal 12" xfId="297"/>
    <cellStyle name="Normal 141" xfId="298"/>
    <cellStyle name="Normal 142" xfId="299"/>
    <cellStyle name="Normal 147" xfId="300"/>
    <cellStyle name="Normal 152" xfId="301"/>
    <cellStyle name="Normal 153" xfId="302"/>
    <cellStyle name="Normal 155" xfId="303"/>
    <cellStyle name="Normal 156" xfId="304"/>
    <cellStyle name="Normal 158" xfId="305"/>
    <cellStyle name="Normal 159" xfId="306"/>
    <cellStyle name="Normal 160" xfId="307"/>
    <cellStyle name="Normal 161" xfId="308"/>
    <cellStyle name="Normal 165" xfId="309"/>
    <cellStyle name="Normal 166" xfId="310"/>
    <cellStyle name="Normal 173" xfId="311"/>
    <cellStyle name="Normal 2" xfId="2"/>
    <cellStyle name="Normal 2 2" xfId="3"/>
    <cellStyle name="Normal 2 2 2" xfId="312"/>
    <cellStyle name="Normal 2 2 3" xfId="313"/>
    <cellStyle name="Normal 2 3" xfId="314"/>
    <cellStyle name="Normal 2 4" xfId="315"/>
    <cellStyle name="Normal 2_022-007-ORC-R2 - 19NOV2014" xfId="316"/>
    <cellStyle name="Normal 3" xfId="317"/>
    <cellStyle name="Normal 3 2" xfId="318"/>
    <cellStyle name="Normal 3 3" xfId="319"/>
    <cellStyle name="Normal 3_ASCAMARE 01-2016 -terraplanagem - 22.05.17" xfId="320"/>
    <cellStyle name="Normal 4" xfId="321"/>
    <cellStyle name="Normal 5" xfId="322"/>
    <cellStyle name="Normal 5 2" xfId="323"/>
    <cellStyle name="Normal 6" xfId="324"/>
    <cellStyle name="Normal 6 2" xfId="325"/>
    <cellStyle name="Normal 7" xfId="326"/>
    <cellStyle name="Normal 8" xfId="327"/>
    <cellStyle name="Normal 8 2" xfId="328"/>
    <cellStyle name="Normal 85" xfId="329"/>
    <cellStyle name="Normal 87" xfId="330"/>
    <cellStyle name="Normal 9" xfId="331"/>
    <cellStyle name="Normal_PLANILHA - LICITAÇÃO CHIQUINHO DE CARVALHO" xfId="490"/>
    <cellStyle name="Normal_PLANILHA ADITIVO 01" xfId="489"/>
    <cellStyle name="Normal_Planilha com Declaração RT" xfId="491"/>
    <cellStyle name="Nota 2" xfId="332"/>
    <cellStyle name="Nota 2 2" xfId="333"/>
    <cellStyle name="Nota 2 2 2" xfId="334"/>
    <cellStyle name="Nota 2 3" xfId="335"/>
    <cellStyle name="Nota 2_PLANILHA ORÇ. GERAL R5" xfId="336"/>
    <cellStyle name="Nota 3" xfId="337"/>
    <cellStyle name="Nota 3 2" xfId="338"/>
    <cellStyle name="Nota 3 3" xfId="339"/>
    <cellStyle name="Nota 3_Planilha Orçamentária - DRENAGEM - OUTROS - R1" xfId="340"/>
    <cellStyle name="Nota 4" xfId="341"/>
    <cellStyle name="Nota 5" xfId="342"/>
    <cellStyle name="Nota 6" xfId="343"/>
    <cellStyle name="Note 1" xfId="344"/>
    <cellStyle name="Note 2" xfId="345"/>
    <cellStyle name="Note 2 2" xfId="346"/>
    <cellStyle name="Note_34.3 - Rua Piaui_Joa" xfId="347"/>
    <cellStyle name="Output" xfId="348"/>
    <cellStyle name="Output 2" xfId="349"/>
    <cellStyle name="Output_ALAMEDA WARMING - MEMÓRIA" xfId="350"/>
    <cellStyle name="Percentual" xfId="351"/>
    <cellStyle name="Percentual 2" xfId="352"/>
    <cellStyle name="Percentual 2 2" xfId="353"/>
    <cellStyle name="Percentual_Planilha Orçamentária - Conde Dolabela - Gustavo Barbi" xfId="354"/>
    <cellStyle name="Ponto" xfId="355"/>
    <cellStyle name="Ponto 2" xfId="356"/>
    <cellStyle name="Ponto 2 2" xfId="357"/>
    <cellStyle name="Ponto_Planilha Orçamentária - Conde Dolabela - Gustavo Barbi" xfId="358"/>
    <cellStyle name="Porcentagem 10" xfId="359"/>
    <cellStyle name="Porcentagem 2" xfId="360"/>
    <cellStyle name="Porcentagem 2 2" xfId="361"/>
    <cellStyle name="Porcentagem 2 2 2" xfId="362"/>
    <cellStyle name="Porcentagem 2 3" xfId="363"/>
    <cellStyle name="Porcentagem 2_ÁLVARO JOSÉ DOS SANTOS" xfId="364"/>
    <cellStyle name="Porcentagem 3" xfId="365"/>
    <cellStyle name="Porcentagem 3 2" xfId="366"/>
    <cellStyle name="Porcentagem 3 2 2" xfId="367"/>
    <cellStyle name="Porcentagem 3 3" xfId="368"/>
    <cellStyle name="Porcentagem 4" xfId="369"/>
    <cellStyle name="Porcentagem 4 2" xfId="370"/>
    <cellStyle name="Porcentagem 5" xfId="371"/>
    <cellStyle name="Porcentagem 5 2" xfId="372"/>
    <cellStyle name="Porcentagem 5 3" xfId="373"/>
    <cellStyle name="Porcentagem 6" xfId="374"/>
    <cellStyle name="Porcentagem 6 2" xfId="375"/>
    <cellStyle name="Porcentagem 7" xfId="376"/>
    <cellStyle name="Porcentagem 7 2" xfId="377"/>
    <cellStyle name="Porcentagem 8" xfId="378"/>
    <cellStyle name="Porcentagem 9" xfId="379"/>
    <cellStyle name="Ruim" xfId="380"/>
    <cellStyle name="Saída 2" xfId="381"/>
    <cellStyle name="Saída 2 2" xfId="382"/>
    <cellStyle name="Saída 3" xfId="383"/>
    <cellStyle name="Saída 3 2" xfId="384"/>
    <cellStyle name="Saída 3_ALAMEDA WARMING - MEMÓRIA" xfId="385"/>
    <cellStyle name="Separador de m" xfId="386"/>
    <cellStyle name="Separador de m 2" xfId="387"/>
    <cellStyle name="Separador de m 2 2" xfId="388"/>
    <cellStyle name="Separador de m_Planilha Orçamentária - Conde Dolabela - Gustavo Barbi" xfId="389"/>
    <cellStyle name="Separador de milhares" xfId="1" builtinId="3"/>
    <cellStyle name="Separador de milhares 10" xfId="390"/>
    <cellStyle name="Separador de milhares 10 2" xfId="391"/>
    <cellStyle name="Separador de milhares 2" xfId="392"/>
    <cellStyle name="Separador de milhares 2 2" xfId="393"/>
    <cellStyle name="Separador de milhares 2 2 2" xfId="394"/>
    <cellStyle name="Separador de milhares 2 2_34.3 - Rua Piaui_Joa" xfId="395"/>
    <cellStyle name="Separador de milhares 2 3" xfId="396"/>
    <cellStyle name="Separador de milhares 2 4" xfId="397"/>
    <cellStyle name="Separador de milhares 3" xfId="398"/>
    <cellStyle name="Separador de milhares 3 2" xfId="399"/>
    <cellStyle name="Separador de milhares 3 2 2" xfId="400"/>
    <cellStyle name="Separador de milhares 3 3" xfId="401"/>
    <cellStyle name="Separador de milhares 3 4" xfId="402"/>
    <cellStyle name="Separador de milhares 3 5" xfId="403"/>
    <cellStyle name="Separador de milhares 3_ÁLVARO JOSÉ DOS SANTOS" xfId="404"/>
    <cellStyle name="Separador de milhares 4" xfId="405"/>
    <cellStyle name="Separador de milhares 4 2" xfId="406"/>
    <cellStyle name="Separador de milhares 4 2 2" xfId="407"/>
    <cellStyle name="Separador de milhares 4_ÁLVARO JOSÉ DOS SANTOS" xfId="408"/>
    <cellStyle name="Separador de milhares 5" xfId="409"/>
    <cellStyle name="Separador de milhares 5 2" xfId="410"/>
    <cellStyle name="Separador de milhares 5 2 2" xfId="411"/>
    <cellStyle name="Separador de milhares 5 3" xfId="412"/>
    <cellStyle name="Separador de milhares 5 4" xfId="413"/>
    <cellStyle name="Separador de milhares 5_ÁLVARO JOSÉ DOS SANTOS" xfId="414"/>
    <cellStyle name="Separador de milhares 6" xfId="415"/>
    <cellStyle name="Status 1" xfId="416"/>
    <cellStyle name="Status 2" xfId="417"/>
    <cellStyle name="Text 1" xfId="418"/>
    <cellStyle name="Text 2" xfId="419"/>
    <cellStyle name="Texto de Aviso 2" xfId="420"/>
    <cellStyle name="Texto de Aviso 2 2" xfId="421"/>
    <cellStyle name="Texto de Aviso 3" xfId="422"/>
    <cellStyle name="Texto de Aviso 3 2" xfId="423"/>
    <cellStyle name="Texto Explicativo 2" xfId="424"/>
    <cellStyle name="Texto Explicativo 2 2" xfId="425"/>
    <cellStyle name="Texto Explicativo 3" xfId="426"/>
    <cellStyle name="Texto Explicativo 3 2" xfId="427"/>
    <cellStyle name="Title" xfId="428"/>
    <cellStyle name="Título 1 1" xfId="429"/>
    <cellStyle name="Título 1 2" xfId="430"/>
    <cellStyle name="Título 1 2 2" xfId="431"/>
    <cellStyle name="Título 1 3" xfId="432"/>
    <cellStyle name="Título 1 3 2" xfId="433"/>
    <cellStyle name="Título 1 3_ALAMEDA WARMING - MEMÓRIA" xfId="434"/>
    <cellStyle name="Título 2 2" xfId="435"/>
    <cellStyle name="Título 2 2 2" xfId="436"/>
    <cellStyle name="Título 2 3" xfId="437"/>
    <cellStyle name="Título 2 3 2" xfId="438"/>
    <cellStyle name="Título 2 3_ALAMEDA WARMING - MEMÓRIA" xfId="439"/>
    <cellStyle name="Título 3 2" xfId="440"/>
    <cellStyle name="Título 3 2 2" xfId="441"/>
    <cellStyle name="Título 3 3" xfId="442"/>
    <cellStyle name="Título 3 3 2" xfId="443"/>
    <cellStyle name="Título 3 3_ALAMEDA WARMING - MEMÓRIA" xfId="444"/>
    <cellStyle name="Título 4 2" xfId="445"/>
    <cellStyle name="Título 4 2 2" xfId="446"/>
    <cellStyle name="Título 4 3" xfId="447"/>
    <cellStyle name="Título 4 3 2" xfId="448"/>
    <cellStyle name="Título 5" xfId="449"/>
    <cellStyle name="Título 5 2" xfId="450"/>
    <cellStyle name="Título 5 3" xfId="451"/>
    <cellStyle name="Título 6" xfId="452"/>
    <cellStyle name="Título 6 2" xfId="453"/>
    <cellStyle name="Titulo1" xfId="454"/>
    <cellStyle name="Titulo1 2" xfId="455"/>
    <cellStyle name="Titulo1 2 2" xfId="456"/>
    <cellStyle name="Titulo1_Planilha Orçamentária - Conde Dolabela - Gustavo Barbi" xfId="457"/>
    <cellStyle name="Titulo2" xfId="458"/>
    <cellStyle name="Titulo2 2" xfId="459"/>
    <cellStyle name="Titulo2 2 2" xfId="460"/>
    <cellStyle name="Titulo2_Planilha Orçamentária - Conde Dolabela - Gustavo Barbi" xfId="461"/>
    <cellStyle name="Total 2" xfId="462"/>
    <cellStyle name="Total 2 2" xfId="463"/>
    <cellStyle name="Total 3" xfId="464"/>
    <cellStyle name="Total 3 2" xfId="465"/>
    <cellStyle name="Total 3_Planilha Orçamentária - DRENAGEM - OUTROS - R1" xfId="466"/>
    <cellStyle name="Vírgula 2" xfId="467"/>
    <cellStyle name="Vírgula 2 2" xfId="468"/>
    <cellStyle name="Vírgula 2 2 2" xfId="469"/>
    <cellStyle name="Vírgula 2 2 2 2" xfId="470"/>
    <cellStyle name="Vírgula 2 2 3" xfId="471"/>
    <cellStyle name="Vírgula 2 2_34.3 - Rua Piaui_Joa" xfId="472"/>
    <cellStyle name="Vírgula 2 3" xfId="473"/>
    <cellStyle name="Vírgula 2 4" xfId="474"/>
    <cellStyle name="Vírgula 2 5" xfId="475"/>
    <cellStyle name="Vírgula 2_34.3 - Rua Piaui_Joa" xfId="476"/>
    <cellStyle name="Vírgula 3" xfId="477"/>
    <cellStyle name="Vírgula 3 2" xfId="478"/>
    <cellStyle name="Vírgula 3 2 2" xfId="479"/>
    <cellStyle name="Vírgula 3 3" xfId="480"/>
    <cellStyle name="Vírgula 4" xfId="481"/>
    <cellStyle name="Vírgula 4 2" xfId="482"/>
    <cellStyle name="Vírgula 5" xfId="483"/>
    <cellStyle name="Vírgula 6" xfId="484"/>
    <cellStyle name="Warning 1" xfId="485"/>
    <cellStyle name="Warning 2" xfId="486"/>
    <cellStyle name="Warning Text" xfId="487"/>
    <cellStyle name="Warning_Planilha Orçamentária - Conde Dolabela - Gustavo Barbi" xfId="488"/>
  </cellStyles>
  <dxfs count="2">
    <dxf>
      <font>
        <b/>
        <i val="0"/>
        <condense val="0"/>
        <extend val="0"/>
        <color indexed="8"/>
      </font>
      <fill>
        <patternFill patternType="solid">
          <fgColor indexed="25"/>
          <bgColor indexed="55"/>
        </patternFill>
      </fill>
    </dxf>
    <dxf>
      <font>
        <b/>
        <i val="0"/>
        <condense val="0"/>
        <extend val="0"/>
        <color indexed="8"/>
      </font>
      <fill>
        <patternFill patternType="solid">
          <fgColor indexed="25"/>
          <bgColor indexed="55"/>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592667</xdr:colOff>
      <xdr:row>9</xdr:row>
      <xdr:rowOff>222250</xdr:rowOff>
    </xdr:from>
    <xdr:ext cx="184731" cy="264560"/>
    <xdr:sp macro="" textlink="">
      <xdr:nvSpPr>
        <xdr:cNvPr id="3" name="CaixaDeTexto 2"/>
        <xdr:cNvSpPr txBox="1"/>
      </xdr:nvSpPr>
      <xdr:spPr>
        <a:xfrm>
          <a:off x="11755967" y="255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t-BR" sz="1100"/>
        </a:p>
      </xdr:txBody>
    </xdr:sp>
    <xdr:clientData/>
  </xdr:oneCellAnchor>
  <xdr:twoCellAnchor editAs="absolute">
    <xdr:from>
      <xdr:col>0</xdr:col>
      <xdr:colOff>169332</xdr:colOff>
      <xdr:row>0</xdr:row>
      <xdr:rowOff>74083</xdr:rowOff>
    </xdr:from>
    <xdr:to>
      <xdr:col>2</xdr:col>
      <xdr:colOff>137582</xdr:colOff>
      <xdr:row>1</xdr:row>
      <xdr:rowOff>511097</xdr:rowOff>
    </xdr:to>
    <xdr:pic>
      <xdr:nvPicPr>
        <xdr:cNvPr id="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9332" y="74083"/>
          <a:ext cx="1397000" cy="976764"/>
        </a:xfrm>
        <a:prstGeom prst="rect">
          <a:avLst/>
        </a:prstGeom>
        <a:noFill/>
        <a:ln w="9525">
          <a:noFill/>
          <a:round/>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EMORIA%20DE%20C&#193;LCULO/C&#243;pia%20de%20PLANILHA%20M&#218;LTIPLA%20PMLS%20-%20R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ARQUIVOS%20SEOS\SAUDE\ARQUIVO%202023\UBS%20SOLARIUM\01.LICITA&#199;&#195;O\MEMORIA%20DE%20C&#193;LCULO\C&#243;pia%20de%20PLANILHA%20M&#218;LTIPLA%20PMLS%20-%20R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6%20-%20PLANILHA%20OR&#199;AMENTARIA%20REFORMA%20UBS%20SOLARIU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RQUIVOS%20SEOS\SAUDE\ARQUIVO%202023\UBS%20SOLARIUM\01.LICITA&#199;&#195;O\PLANILHA%20OR&#199;AMENTARIA%20REFORMA%20UBS%20SOLARIUM.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OBSOLETO/PLANILHA%20OR&#199;AMENTARIA%20UBS%20SOLARIUM%20-%20ATUALIZA&#199;&#195;O%20JULH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RÇAMENTARIA GERAL"/>
      <sheetName val="CRONOGRAMA"/>
      <sheetName val="BDI TCU 2622 - EDIF"/>
      <sheetName val="COMPOSIÇÕES"/>
      <sheetName val="ORÇAMENTARIA- Atualizada Breno"/>
      <sheetName val="COMPOSIÇÕES (2)"/>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ORÇAMENTARIA GERAL"/>
      <sheetName val="CRONOGRAMA"/>
      <sheetName val="BDI TCU 2622 - EDIF"/>
      <sheetName val="COMPOSIÇÕES"/>
      <sheetName val="ORÇAMENTARIA- Atualizada Breno"/>
    </sheetNames>
    <sheetDataSet>
      <sheetData sheetId="0"/>
      <sheetData sheetId="1" refreshError="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ORÇAMENTARIA GERAL"/>
      <sheetName val="CRONOGRAMA"/>
      <sheetName val="BDI TCU 2622 - EDIF"/>
      <sheetName val="COMPOSIÇÕES"/>
    </sheetNames>
    <sheetDataSet>
      <sheetData sheetId="0">
        <row r="5">
          <cell r="A5" t="str">
            <v>CONTRATANTE: PREFEITURA MUNICIPAL DE LAGOA SANTA</v>
          </cell>
        </row>
        <row r="6">
          <cell r="A6" t="str">
            <v>OBRA: REFORMA DA UNIDADE BÁSICA DE SAÚDE SOLARIUM</v>
          </cell>
        </row>
        <row r="13">
          <cell r="C13" t="str">
            <v>SERVIÇOS PRELIMINARES</v>
          </cell>
        </row>
        <row r="29">
          <cell r="C29" t="str">
            <v xml:space="preserve">LOCAÇÃO DE OBRA  </v>
          </cell>
        </row>
        <row r="31">
          <cell r="C31" t="str">
            <v>DEMOLIÇÕES E REMOÇÕES</v>
          </cell>
        </row>
        <row r="53">
          <cell r="C53" t="str">
            <v>FUNDAÇÕES</v>
          </cell>
        </row>
        <row r="71">
          <cell r="C71" t="str">
            <v>ESTRUTURA</v>
          </cell>
        </row>
        <row r="78">
          <cell r="C78" t="str">
            <v>ALVENARIA</v>
          </cell>
        </row>
        <row r="84">
          <cell r="C84" t="str">
            <v>PISOS  E RODAPÉS</v>
          </cell>
        </row>
        <row r="93">
          <cell r="C93" t="str">
            <v>REVESTIMENTO DE PAREDES</v>
          </cell>
        </row>
        <row r="99">
          <cell r="C99" t="str">
            <v>REVESTIMENTO DE TETOS</v>
          </cell>
        </row>
        <row r="102">
          <cell r="C102" t="str">
            <v>ESQUADRIAS</v>
          </cell>
        </row>
        <row r="119">
          <cell r="C119" t="str">
            <v>DIVISÓRIAS</v>
          </cell>
        </row>
        <row r="127">
          <cell r="C127" t="str">
            <v>PINTURA</v>
          </cell>
        </row>
        <row r="146">
          <cell r="C146" t="str">
            <v>INSTALAÇÕES HIDROSSANITÁRIAS E PLUVIAIS</v>
          </cell>
        </row>
        <row r="176">
          <cell r="C176" t="str">
            <v>INSTALAÇÕES ELÉTRICAS</v>
          </cell>
        </row>
        <row r="187">
          <cell r="C187" t="str">
            <v>COBERTURA</v>
          </cell>
        </row>
        <row r="198">
          <cell r="C198" t="str">
            <v>SOLEIRAS, PEITORIS E BANCADAS</v>
          </cell>
        </row>
        <row r="206">
          <cell r="C206" t="str">
            <v>LOUÇAS, METAIS E ACESSÓRIOS</v>
          </cell>
        </row>
        <row r="227">
          <cell r="C227" t="str">
            <v>MARCENARIA</v>
          </cell>
        </row>
        <row r="236">
          <cell r="C236" t="str">
            <v>INSTALAÇÕES DE COMBATE A INCÊNDIO</v>
          </cell>
        </row>
        <row r="250">
          <cell r="C250" t="str">
            <v>SERVIÇOS COMPLEMENTARES</v>
          </cell>
        </row>
        <row r="258">
          <cell r="C258" t="str">
            <v>ADMINISTRAÇÃO LOCAL</v>
          </cell>
        </row>
      </sheetData>
      <sheetData sheetId="1"/>
      <sheetData sheetId="2"/>
      <sheetData sheetId="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L269"/>
  <sheetViews>
    <sheetView showZeros="0" tabSelected="1" view="pageBreakPreview" topLeftCell="A97" zoomScale="90" zoomScaleSheetLayoutView="90" workbookViewId="0">
      <selection activeCell="E106" sqref="E106"/>
    </sheetView>
  </sheetViews>
  <sheetFormatPr defaultRowHeight="12.75"/>
  <cols>
    <col min="1" max="1" width="12.140625" style="43" customWidth="1"/>
    <col min="2" max="2" width="9.140625" style="43" bestFit="1" customWidth="1"/>
    <col min="3" max="3" width="47.5703125" style="43" customWidth="1"/>
    <col min="4" max="4" width="9.140625" style="2"/>
    <col min="5" max="5" width="14.42578125" style="2" customWidth="1"/>
    <col min="6" max="6" width="13.42578125" style="2" customWidth="1"/>
    <col min="7" max="7" width="14.42578125" style="2" customWidth="1"/>
    <col min="8" max="8" width="18.140625" style="2" customWidth="1"/>
    <col min="9" max="9" width="13.42578125" style="1" hidden="1" customWidth="1"/>
    <col min="10" max="10" width="9.140625" style="2"/>
    <col min="11" max="11" width="23.7109375" style="2" customWidth="1"/>
    <col min="12" max="16384" width="9.140625" style="2"/>
  </cols>
  <sheetData>
    <row r="1" spans="1:9" ht="42.75" customHeight="1">
      <c r="A1" s="144"/>
      <c r="B1" s="145"/>
      <c r="C1" s="142" t="s">
        <v>649</v>
      </c>
      <c r="D1" s="142"/>
      <c r="E1" s="142"/>
      <c r="F1" s="142"/>
      <c r="G1" s="142"/>
      <c r="H1" s="142"/>
    </row>
    <row r="2" spans="1:9" ht="44.25" customHeight="1">
      <c r="A2" s="146"/>
      <c r="B2" s="147"/>
      <c r="C2" s="143" t="s">
        <v>650</v>
      </c>
      <c r="D2" s="143"/>
      <c r="E2" s="143"/>
      <c r="F2" s="143"/>
      <c r="G2" s="143"/>
      <c r="H2" s="143"/>
    </row>
    <row r="3" spans="1:9" ht="3.75" customHeight="1" thickBot="1">
      <c r="A3" s="153"/>
      <c r="B3" s="154"/>
      <c r="C3" s="154"/>
      <c r="D3" s="154"/>
      <c r="E3" s="154"/>
      <c r="F3" s="154"/>
      <c r="G3" s="154"/>
      <c r="H3" s="155"/>
    </row>
    <row r="4" spans="1:9" ht="20.100000000000001" customHeight="1" thickBot="1">
      <c r="A4" s="156" t="s">
        <v>0</v>
      </c>
      <c r="B4" s="157"/>
      <c r="C4" s="157"/>
      <c r="D4" s="157"/>
      <c r="E4" s="157"/>
      <c r="F4" s="157"/>
      <c r="G4" s="157"/>
      <c r="H4" s="158"/>
    </row>
    <row r="5" spans="1:9" ht="3.75" customHeight="1" thickBot="1">
      <c r="A5" s="47"/>
      <c r="B5" s="3"/>
      <c r="C5" s="3"/>
      <c r="D5" s="4"/>
      <c r="E5" s="4"/>
      <c r="F5" s="4"/>
      <c r="G5" s="4"/>
      <c r="H5" s="48"/>
    </row>
    <row r="6" spans="1:9" ht="22.5" customHeight="1">
      <c r="A6" s="159" t="s">
        <v>1</v>
      </c>
      <c r="B6" s="160"/>
      <c r="C6" s="160"/>
      <c r="D6" s="160"/>
      <c r="E6" s="160"/>
      <c r="F6" s="160"/>
      <c r="G6" s="160"/>
      <c r="H6" s="161"/>
    </row>
    <row r="7" spans="1:9" ht="22.5" customHeight="1">
      <c r="A7" s="162" t="s">
        <v>647</v>
      </c>
      <c r="B7" s="163"/>
      <c r="C7" s="163"/>
      <c r="D7" s="163"/>
      <c r="E7" s="163"/>
      <c r="F7" s="164" t="s">
        <v>651</v>
      </c>
      <c r="G7" s="164"/>
      <c r="H7" s="165"/>
    </row>
    <row r="8" spans="1:9" ht="25.5" customHeight="1">
      <c r="A8" s="166" t="s">
        <v>2</v>
      </c>
      <c r="B8" s="167"/>
      <c r="C8" s="167"/>
      <c r="D8" s="167"/>
      <c r="E8" s="167"/>
      <c r="F8" s="46" t="s">
        <v>645</v>
      </c>
      <c r="G8" s="46"/>
      <c r="H8" s="49" t="s">
        <v>4</v>
      </c>
    </row>
    <row r="9" spans="1:9" ht="24" customHeight="1">
      <c r="A9" s="166" t="s">
        <v>3</v>
      </c>
      <c r="B9" s="167"/>
      <c r="C9" s="167"/>
      <c r="D9" s="167"/>
      <c r="E9" s="167"/>
      <c r="F9" s="175" t="s">
        <v>644</v>
      </c>
      <c r="G9" s="176" t="s">
        <v>646</v>
      </c>
      <c r="H9" s="181">
        <v>0.31480000000000002</v>
      </c>
    </row>
    <row r="10" spans="1:9" ht="21" customHeight="1">
      <c r="A10" s="166" t="s">
        <v>648</v>
      </c>
      <c r="B10" s="167"/>
      <c r="C10" s="167"/>
      <c r="D10" s="167"/>
      <c r="E10" s="167"/>
      <c r="F10" s="175"/>
      <c r="G10" s="176"/>
      <c r="H10" s="182"/>
    </row>
    <row r="11" spans="1:9" ht="3.75" customHeight="1" thickBot="1">
      <c r="A11" s="177"/>
      <c r="B11" s="178"/>
      <c r="C11" s="178"/>
      <c r="D11" s="178"/>
      <c r="E11" s="178"/>
      <c r="F11" s="178"/>
      <c r="G11" s="178"/>
      <c r="H11" s="179"/>
    </row>
    <row r="12" spans="1:9" ht="38.25">
      <c r="A12" s="50" t="s">
        <v>5</v>
      </c>
      <c r="B12" s="5" t="s">
        <v>6</v>
      </c>
      <c r="C12" s="5" t="s">
        <v>7</v>
      </c>
      <c r="D12" s="6" t="s">
        <v>8</v>
      </c>
      <c r="E12" s="6" t="s">
        <v>9</v>
      </c>
      <c r="F12" s="7" t="s">
        <v>10</v>
      </c>
      <c r="G12" s="7" t="s">
        <v>11</v>
      </c>
      <c r="H12" s="51" t="s">
        <v>12</v>
      </c>
    </row>
    <row r="13" spans="1:9" ht="18.75">
      <c r="A13" s="52">
        <v>1</v>
      </c>
      <c r="B13" s="8"/>
      <c r="C13" s="180" t="s">
        <v>13</v>
      </c>
      <c r="D13" s="180"/>
      <c r="E13" s="180"/>
      <c r="F13" s="9"/>
      <c r="G13" s="9"/>
      <c r="H13" s="53"/>
    </row>
    <row r="14" spans="1:9" s="16" customFormat="1" ht="15">
      <c r="A14" s="54" t="s">
        <v>14</v>
      </c>
      <c r="B14" s="10"/>
      <c r="C14" s="11" t="s">
        <v>15</v>
      </c>
      <c r="D14" s="12" t="s">
        <v>16</v>
      </c>
      <c r="E14" s="13">
        <v>0</v>
      </c>
      <c r="F14" s="14"/>
      <c r="G14" s="14"/>
      <c r="H14" s="55">
        <f>SUM(H15:H23)</f>
        <v>100125.62</v>
      </c>
      <c r="I14" s="15"/>
    </row>
    <row r="15" spans="1:9" ht="45">
      <c r="A15" s="56" t="s">
        <v>17</v>
      </c>
      <c r="B15" s="17" t="s">
        <v>18</v>
      </c>
      <c r="C15" s="18" t="s">
        <v>19</v>
      </c>
      <c r="D15" s="19" t="s">
        <v>20</v>
      </c>
      <c r="E15" s="20">
        <v>1</v>
      </c>
      <c r="F15" s="21">
        <f>I256</f>
        <v>2691.2294294400008</v>
      </c>
      <c r="G15" s="21">
        <f t="shared" ref="G15:G78" si="0">TRUNC(F15*(1+$H$9),2)</f>
        <v>3538.42</v>
      </c>
      <c r="H15" s="57">
        <f t="shared" ref="H15:H23" si="1">TRUNC(E15*G15,2)</f>
        <v>3538.42</v>
      </c>
      <c r="I15" s="22"/>
    </row>
    <row r="16" spans="1:9" ht="120">
      <c r="A16" s="56" t="s">
        <v>21</v>
      </c>
      <c r="B16" s="17" t="s">
        <v>22</v>
      </c>
      <c r="C16" s="18" t="s">
        <v>23</v>
      </c>
      <c r="D16" s="19" t="s">
        <v>24</v>
      </c>
      <c r="E16" s="20">
        <v>1</v>
      </c>
      <c r="F16" s="21">
        <v>3812.52</v>
      </c>
      <c r="G16" s="21">
        <f t="shared" si="0"/>
        <v>5012.7</v>
      </c>
      <c r="H16" s="57">
        <f t="shared" si="1"/>
        <v>5012.7</v>
      </c>
      <c r="I16" s="22">
        <f t="shared" ref="I16:I25" si="2">E16*F16</f>
        <v>3812.52</v>
      </c>
    </row>
    <row r="17" spans="1:9" ht="75">
      <c r="A17" s="56" t="s">
        <v>25</v>
      </c>
      <c r="B17" s="17" t="s">
        <v>26</v>
      </c>
      <c r="C17" s="18" t="s">
        <v>27</v>
      </c>
      <c r="D17" s="19" t="s">
        <v>24</v>
      </c>
      <c r="E17" s="20">
        <v>1</v>
      </c>
      <c r="F17" s="21">
        <v>7304.63</v>
      </c>
      <c r="G17" s="21">
        <f t="shared" si="0"/>
        <v>9604.1200000000008</v>
      </c>
      <c r="H17" s="57">
        <f t="shared" si="1"/>
        <v>9604.1200000000008</v>
      </c>
      <c r="I17" s="22">
        <f t="shared" si="2"/>
        <v>7304.63</v>
      </c>
    </row>
    <row r="18" spans="1:9" ht="150">
      <c r="A18" s="56" t="s">
        <v>28</v>
      </c>
      <c r="B18" s="17" t="s">
        <v>29</v>
      </c>
      <c r="C18" s="18" t="s">
        <v>30</v>
      </c>
      <c r="D18" s="19" t="s">
        <v>31</v>
      </c>
      <c r="E18" s="20">
        <v>10</v>
      </c>
      <c r="F18" s="21">
        <v>879.14</v>
      </c>
      <c r="G18" s="21">
        <f t="shared" si="0"/>
        <v>1155.8900000000001</v>
      </c>
      <c r="H18" s="57">
        <f t="shared" si="1"/>
        <v>11558.9</v>
      </c>
      <c r="I18" s="22">
        <f t="shared" si="2"/>
        <v>8791.4</v>
      </c>
    </row>
    <row r="19" spans="1:9" ht="120">
      <c r="A19" s="56" t="s">
        <v>32</v>
      </c>
      <c r="B19" s="17" t="s">
        <v>33</v>
      </c>
      <c r="C19" s="18" t="s">
        <v>34</v>
      </c>
      <c r="D19" s="19" t="s">
        <v>31</v>
      </c>
      <c r="E19" s="20">
        <v>10</v>
      </c>
      <c r="F19" s="21">
        <v>665.3</v>
      </c>
      <c r="G19" s="21">
        <f t="shared" si="0"/>
        <v>874.73</v>
      </c>
      <c r="H19" s="57">
        <f t="shared" si="1"/>
        <v>8747.2999999999993</v>
      </c>
      <c r="I19" s="22">
        <f t="shared" si="2"/>
        <v>6653</v>
      </c>
    </row>
    <row r="20" spans="1:9" ht="75">
      <c r="A20" s="56" t="s">
        <v>35</v>
      </c>
      <c r="B20" s="17" t="s">
        <v>36</v>
      </c>
      <c r="C20" s="18" t="s">
        <v>37</v>
      </c>
      <c r="D20" s="19" t="s">
        <v>38</v>
      </c>
      <c r="E20" s="20">
        <v>150</v>
      </c>
      <c r="F20" s="21">
        <v>197.19</v>
      </c>
      <c r="G20" s="21">
        <f t="shared" si="0"/>
        <v>259.26</v>
      </c>
      <c r="H20" s="57">
        <f t="shared" si="1"/>
        <v>38889</v>
      </c>
      <c r="I20" s="22">
        <f t="shared" si="2"/>
        <v>29578.5</v>
      </c>
    </row>
    <row r="21" spans="1:9" ht="90">
      <c r="A21" s="56" t="s">
        <v>39</v>
      </c>
      <c r="B21" s="17" t="s">
        <v>40</v>
      </c>
      <c r="C21" s="18" t="s">
        <v>41</v>
      </c>
      <c r="D21" s="19" t="s">
        <v>42</v>
      </c>
      <c r="E21" s="20">
        <v>9.68</v>
      </c>
      <c r="F21" s="21">
        <v>147.16999999999999</v>
      </c>
      <c r="G21" s="21">
        <f t="shared" si="0"/>
        <v>193.49</v>
      </c>
      <c r="H21" s="57">
        <f t="shared" si="1"/>
        <v>1872.98</v>
      </c>
      <c r="I21" s="22">
        <f t="shared" si="2"/>
        <v>1424.6055999999999</v>
      </c>
    </row>
    <row r="22" spans="1:9" ht="45">
      <c r="A22" s="56" t="s">
        <v>43</v>
      </c>
      <c r="B22" s="17" t="s">
        <v>44</v>
      </c>
      <c r="C22" s="18" t="s">
        <v>45</v>
      </c>
      <c r="D22" s="19" t="s">
        <v>42</v>
      </c>
      <c r="E22" s="20">
        <v>330</v>
      </c>
      <c r="F22" s="21">
        <v>9.33</v>
      </c>
      <c r="G22" s="21">
        <f t="shared" si="0"/>
        <v>12.26</v>
      </c>
      <c r="H22" s="57">
        <f t="shared" si="1"/>
        <v>4045.8</v>
      </c>
      <c r="I22" s="22">
        <f t="shared" si="2"/>
        <v>3078.9</v>
      </c>
    </row>
    <row r="23" spans="1:9" ht="30">
      <c r="A23" s="56" t="s">
        <v>46</v>
      </c>
      <c r="B23" s="67" t="s">
        <v>47</v>
      </c>
      <c r="C23" s="18" t="s">
        <v>48</v>
      </c>
      <c r="D23" s="19" t="s">
        <v>49</v>
      </c>
      <c r="E23" s="20">
        <v>220</v>
      </c>
      <c r="F23" s="21">
        <v>58.28</v>
      </c>
      <c r="G23" s="21">
        <f t="shared" si="0"/>
        <v>76.62</v>
      </c>
      <c r="H23" s="57">
        <f t="shared" si="1"/>
        <v>16856.400000000001</v>
      </c>
      <c r="I23" s="22">
        <f t="shared" si="2"/>
        <v>12821.6</v>
      </c>
    </row>
    <row r="24" spans="1:9" ht="15">
      <c r="A24" s="54" t="s">
        <v>50</v>
      </c>
      <c r="B24" s="10"/>
      <c r="C24" s="11" t="s">
        <v>51</v>
      </c>
      <c r="D24" s="12" t="s">
        <v>16</v>
      </c>
      <c r="E24" s="13">
        <v>0</v>
      </c>
      <c r="F24" s="23">
        <v>0</v>
      </c>
      <c r="G24" s="14">
        <f t="shared" si="0"/>
        <v>0</v>
      </c>
      <c r="H24" s="55">
        <f>SUM(H25)</f>
        <v>3919.8</v>
      </c>
      <c r="I24" s="22">
        <f t="shared" si="2"/>
        <v>0</v>
      </c>
    </row>
    <row r="25" spans="1:9" ht="75">
      <c r="A25" s="56" t="s">
        <v>52</v>
      </c>
      <c r="B25" s="17" t="s">
        <v>53</v>
      </c>
      <c r="C25" s="18" t="s">
        <v>54</v>
      </c>
      <c r="D25" s="19" t="s">
        <v>38</v>
      </c>
      <c r="E25" s="20">
        <v>60</v>
      </c>
      <c r="F25" s="21">
        <v>49.69</v>
      </c>
      <c r="G25" s="21">
        <f t="shared" si="0"/>
        <v>65.33</v>
      </c>
      <c r="H25" s="57">
        <f>TRUNC(E25*G25,2)</f>
        <v>3919.8</v>
      </c>
      <c r="I25" s="22">
        <f t="shared" si="2"/>
        <v>2981.3999999999996</v>
      </c>
    </row>
    <row r="26" spans="1:9" ht="15" customHeight="1">
      <c r="A26" s="54" t="s">
        <v>55</v>
      </c>
      <c r="B26" s="10"/>
      <c r="C26" s="11" t="s">
        <v>56</v>
      </c>
      <c r="D26" s="12" t="s">
        <v>16</v>
      </c>
      <c r="E26" s="13">
        <v>0</v>
      </c>
      <c r="F26" s="23">
        <v>0</v>
      </c>
      <c r="G26" s="14">
        <f t="shared" si="0"/>
        <v>0</v>
      </c>
      <c r="H26" s="55">
        <f>SUM(H27:H47)</f>
        <v>38433.339999999997</v>
      </c>
      <c r="I26" s="22"/>
    </row>
    <row r="27" spans="1:9" ht="45">
      <c r="A27" s="56" t="s">
        <v>57</v>
      </c>
      <c r="B27" s="17">
        <v>97622</v>
      </c>
      <c r="C27" s="18" t="s">
        <v>58</v>
      </c>
      <c r="D27" s="19" t="s">
        <v>59</v>
      </c>
      <c r="E27" s="20">
        <f>41.09+14.5+12.09</f>
        <v>67.680000000000007</v>
      </c>
      <c r="F27" s="21">
        <v>46.8</v>
      </c>
      <c r="G27" s="21">
        <f t="shared" si="0"/>
        <v>61.53</v>
      </c>
      <c r="H27" s="57">
        <f t="shared" ref="H27:H47" si="3">TRUNC(E27*G27,2)</f>
        <v>4164.3500000000004</v>
      </c>
      <c r="I27" s="22">
        <f t="shared" ref="I27:I47" si="4">E27*F27</f>
        <v>3167.424</v>
      </c>
    </row>
    <row r="28" spans="1:9" ht="75">
      <c r="A28" s="56" t="s">
        <v>60</v>
      </c>
      <c r="B28" s="17" t="s">
        <v>61</v>
      </c>
      <c r="C28" s="18" t="s">
        <v>62</v>
      </c>
      <c r="D28" s="19" t="s">
        <v>42</v>
      </c>
      <c r="E28" s="20">
        <v>40</v>
      </c>
      <c r="F28" s="21">
        <v>4.88</v>
      </c>
      <c r="G28" s="21">
        <f t="shared" si="0"/>
        <v>6.41</v>
      </c>
      <c r="H28" s="57">
        <f t="shared" si="3"/>
        <v>256.39999999999998</v>
      </c>
      <c r="I28" s="22">
        <f t="shared" si="4"/>
        <v>195.2</v>
      </c>
    </row>
    <row r="29" spans="1:9" ht="45">
      <c r="A29" s="56" t="s">
        <v>63</v>
      </c>
      <c r="B29" s="17">
        <v>97627</v>
      </c>
      <c r="C29" s="18" t="s">
        <v>64</v>
      </c>
      <c r="D29" s="19" t="s">
        <v>59</v>
      </c>
      <c r="E29" s="20">
        <v>2.57</v>
      </c>
      <c r="F29" s="21">
        <v>249.54</v>
      </c>
      <c r="G29" s="21">
        <f t="shared" si="0"/>
        <v>328.09</v>
      </c>
      <c r="H29" s="57">
        <f t="shared" si="3"/>
        <v>843.19</v>
      </c>
      <c r="I29" s="22">
        <f t="shared" si="4"/>
        <v>641.31779999999992</v>
      </c>
    </row>
    <row r="30" spans="1:9" ht="45">
      <c r="A30" s="56" t="s">
        <v>65</v>
      </c>
      <c r="B30" s="17">
        <v>97629</v>
      </c>
      <c r="C30" s="18" t="s">
        <v>66</v>
      </c>
      <c r="D30" s="19" t="s">
        <v>59</v>
      </c>
      <c r="E30" s="20">
        <v>4.88</v>
      </c>
      <c r="F30" s="21">
        <v>108.67</v>
      </c>
      <c r="G30" s="21">
        <f t="shared" si="0"/>
        <v>142.87</v>
      </c>
      <c r="H30" s="57">
        <f t="shared" si="3"/>
        <v>697.2</v>
      </c>
      <c r="I30" s="22">
        <f t="shared" si="4"/>
        <v>530.30960000000005</v>
      </c>
    </row>
    <row r="31" spans="1:9" ht="75">
      <c r="A31" s="56" t="s">
        <v>67</v>
      </c>
      <c r="B31" s="17" t="s">
        <v>68</v>
      </c>
      <c r="C31" s="18" t="s">
        <v>69</v>
      </c>
      <c r="D31" s="19" t="s">
        <v>42</v>
      </c>
      <c r="E31" s="20">
        <v>210.46</v>
      </c>
      <c r="F31" s="21">
        <v>14.65</v>
      </c>
      <c r="G31" s="21">
        <f t="shared" si="0"/>
        <v>19.260000000000002</v>
      </c>
      <c r="H31" s="57">
        <f t="shared" si="3"/>
        <v>4053.45</v>
      </c>
      <c r="I31" s="22">
        <f t="shared" si="4"/>
        <v>3083.239</v>
      </c>
    </row>
    <row r="32" spans="1:9" ht="75">
      <c r="A32" s="56" t="s">
        <v>70</v>
      </c>
      <c r="B32" s="17" t="s">
        <v>71</v>
      </c>
      <c r="C32" s="18" t="s">
        <v>72</v>
      </c>
      <c r="D32" s="19" t="s">
        <v>42</v>
      </c>
      <c r="E32" s="20">
        <v>250.46</v>
      </c>
      <c r="F32" s="21">
        <v>15.69</v>
      </c>
      <c r="G32" s="21">
        <f t="shared" si="0"/>
        <v>20.62</v>
      </c>
      <c r="H32" s="57">
        <f t="shared" si="3"/>
        <v>5164.4799999999996</v>
      </c>
      <c r="I32" s="22">
        <f t="shared" si="4"/>
        <v>3929.7174</v>
      </c>
    </row>
    <row r="33" spans="1:12" ht="45">
      <c r="A33" s="56" t="s">
        <v>73</v>
      </c>
      <c r="B33" s="17">
        <v>97633</v>
      </c>
      <c r="C33" s="18" t="s">
        <v>74</v>
      </c>
      <c r="D33" s="19" t="s">
        <v>49</v>
      </c>
      <c r="E33" s="20">
        <f>11.02+67.63</f>
        <v>78.649999999999991</v>
      </c>
      <c r="F33" s="21">
        <v>19.38</v>
      </c>
      <c r="G33" s="21">
        <f t="shared" si="0"/>
        <v>25.48</v>
      </c>
      <c r="H33" s="57">
        <f t="shared" si="3"/>
        <v>2004</v>
      </c>
      <c r="I33" s="22">
        <f t="shared" si="4"/>
        <v>1524.2369999999999</v>
      </c>
    </row>
    <row r="34" spans="1:12" ht="45">
      <c r="A34" s="56" t="s">
        <v>75</v>
      </c>
      <c r="B34" s="17">
        <v>97635</v>
      </c>
      <c r="C34" s="18" t="s">
        <v>76</v>
      </c>
      <c r="D34" s="19" t="s">
        <v>42</v>
      </c>
      <c r="E34" s="20">
        <v>100</v>
      </c>
      <c r="F34" s="21">
        <v>11.49</v>
      </c>
      <c r="G34" s="21">
        <f t="shared" si="0"/>
        <v>15.1</v>
      </c>
      <c r="H34" s="57">
        <f t="shared" si="3"/>
        <v>1510</v>
      </c>
      <c r="I34" s="22">
        <f t="shared" si="4"/>
        <v>1149</v>
      </c>
    </row>
    <row r="35" spans="1:12" ht="75">
      <c r="A35" s="56" t="s">
        <v>77</v>
      </c>
      <c r="B35" s="17" t="s">
        <v>78</v>
      </c>
      <c r="C35" s="18" t="s">
        <v>79</v>
      </c>
      <c r="D35" s="19" t="s">
        <v>42</v>
      </c>
      <c r="E35" s="20">
        <v>65</v>
      </c>
      <c r="F35" s="21">
        <v>7.94</v>
      </c>
      <c r="G35" s="21">
        <f t="shared" si="0"/>
        <v>10.43</v>
      </c>
      <c r="H35" s="57">
        <f t="shared" si="3"/>
        <v>677.95</v>
      </c>
      <c r="I35" s="22">
        <f t="shared" si="4"/>
        <v>516.1</v>
      </c>
    </row>
    <row r="36" spans="1:12" ht="75">
      <c r="A36" s="56" t="s">
        <v>80</v>
      </c>
      <c r="B36" s="17" t="s">
        <v>81</v>
      </c>
      <c r="C36" s="18" t="s">
        <v>82</v>
      </c>
      <c r="D36" s="19" t="s">
        <v>38</v>
      </c>
      <c r="E36" s="20">
        <v>20</v>
      </c>
      <c r="F36" s="21">
        <v>4.1100000000000003</v>
      </c>
      <c r="G36" s="21">
        <f t="shared" si="0"/>
        <v>5.4</v>
      </c>
      <c r="H36" s="57">
        <f t="shared" si="3"/>
        <v>108</v>
      </c>
      <c r="I36" s="22">
        <f t="shared" si="4"/>
        <v>82.2</v>
      </c>
    </row>
    <row r="37" spans="1:12" ht="30">
      <c r="A37" s="56" t="s">
        <v>83</v>
      </c>
      <c r="B37" s="17" t="s">
        <v>84</v>
      </c>
      <c r="C37" s="18" t="s">
        <v>85</v>
      </c>
      <c r="D37" s="19" t="s">
        <v>86</v>
      </c>
      <c r="E37" s="20">
        <v>129.12</v>
      </c>
      <c r="F37" s="21">
        <v>35.54</v>
      </c>
      <c r="G37" s="21">
        <f t="shared" si="0"/>
        <v>46.72</v>
      </c>
      <c r="H37" s="57">
        <f t="shared" si="3"/>
        <v>6032.48</v>
      </c>
      <c r="I37" s="22">
        <f t="shared" si="4"/>
        <v>4588.9247999999998</v>
      </c>
    </row>
    <row r="38" spans="1:12" ht="30">
      <c r="A38" s="56" t="s">
        <v>87</v>
      </c>
      <c r="B38" s="17" t="s">
        <v>88</v>
      </c>
      <c r="C38" s="18" t="s">
        <v>89</v>
      </c>
      <c r="D38" s="19" t="s">
        <v>90</v>
      </c>
      <c r="E38" s="20">
        <v>26</v>
      </c>
      <c r="F38" s="21">
        <v>280</v>
      </c>
      <c r="G38" s="21">
        <f t="shared" si="0"/>
        <v>368.14</v>
      </c>
      <c r="H38" s="57">
        <f t="shared" si="3"/>
        <v>9571.64</v>
      </c>
      <c r="I38" s="22">
        <f t="shared" si="4"/>
        <v>7280</v>
      </c>
    </row>
    <row r="39" spans="1:12" s="16" customFormat="1" ht="90">
      <c r="A39" s="56" t="s">
        <v>91</v>
      </c>
      <c r="B39" s="17" t="s">
        <v>92</v>
      </c>
      <c r="C39" s="18" t="s">
        <v>93</v>
      </c>
      <c r="D39" s="19" t="s">
        <v>24</v>
      </c>
      <c r="E39" s="20">
        <f>6+2</f>
        <v>8</v>
      </c>
      <c r="F39" s="21">
        <v>37.99</v>
      </c>
      <c r="G39" s="21">
        <f t="shared" si="0"/>
        <v>49.94</v>
      </c>
      <c r="H39" s="57">
        <f t="shared" si="3"/>
        <v>399.52</v>
      </c>
      <c r="I39" s="22">
        <f t="shared" si="4"/>
        <v>303.92</v>
      </c>
      <c r="K39" s="2"/>
    </row>
    <row r="40" spans="1:12" ht="105">
      <c r="A40" s="56" t="s">
        <v>94</v>
      </c>
      <c r="B40" s="17" t="s">
        <v>95</v>
      </c>
      <c r="C40" s="18" t="s">
        <v>96</v>
      </c>
      <c r="D40" s="19" t="s">
        <v>42</v>
      </c>
      <c r="E40" s="20">
        <f>5.07+1.2</f>
        <v>6.2700000000000005</v>
      </c>
      <c r="F40" s="21">
        <v>47.42</v>
      </c>
      <c r="G40" s="21">
        <f t="shared" si="0"/>
        <v>62.34</v>
      </c>
      <c r="H40" s="57">
        <f t="shared" si="3"/>
        <v>390.87</v>
      </c>
      <c r="I40" s="22">
        <f t="shared" si="4"/>
        <v>297.32340000000005</v>
      </c>
    </row>
    <row r="41" spans="1:12" ht="45">
      <c r="A41" s="56" t="s">
        <v>97</v>
      </c>
      <c r="B41" s="17" t="s">
        <v>98</v>
      </c>
      <c r="C41" s="18" t="s">
        <v>99</v>
      </c>
      <c r="D41" s="19" t="s">
        <v>42</v>
      </c>
      <c r="E41" s="20">
        <v>13.32</v>
      </c>
      <c r="F41" s="21">
        <v>35.979999999999997</v>
      </c>
      <c r="G41" s="21">
        <f t="shared" si="0"/>
        <v>47.3</v>
      </c>
      <c r="H41" s="57">
        <f t="shared" si="3"/>
        <v>630.03</v>
      </c>
      <c r="I41" s="22">
        <f t="shared" si="4"/>
        <v>479.25359999999995</v>
      </c>
    </row>
    <row r="42" spans="1:12" ht="90">
      <c r="A42" s="56" t="s">
        <v>100</v>
      </c>
      <c r="B42" s="17" t="s">
        <v>101</v>
      </c>
      <c r="C42" s="18" t="s">
        <v>102</v>
      </c>
      <c r="D42" s="19" t="s">
        <v>42</v>
      </c>
      <c r="E42" s="20">
        <f>8.4-2.1</f>
        <v>6.3000000000000007</v>
      </c>
      <c r="F42" s="21">
        <v>11.85</v>
      </c>
      <c r="G42" s="21">
        <f t="shared" si="0"/>
        <v>15.58</v>
      </c>
      <c r="H42" s="57">
        <f t="shared" si="3"/>
        <v>98.15</v>
      </c>
      <c r="I42" s="22">
        <f t="shared" si="4"/>
        <v>74.655000000000001</v>
      </c>
    </row>
    <row r="43" spans="1:12" ht="30">
      <c r="A43" s="56" t="s">
        <v>103</v>
      </c>
      <c r="B43" s="17" t="s">
        <v>104</v>
      </c>
      <c r="C43" s="18" t="s">
        <v>105</v>
      </c>
      <c r="D43" s="19" t="s">
        <v>42</v>
      </c>
      <c r="E43" s="20">
        <v>3.84</v>
      </c>
      <c r="F43" s="21">
        <v>16.46</v>
      </c>
      <c r="G43" s="21">
        <f t="shared" si="0"/>
        <v>21.64</v>
      </c>
      <c r="H43" s="57">
        <f t="shared" si="3"/>
        <v>83.09</v>
      </c>
      <c r="I43" s="22">
        <f t="shared" si="4"/>
        <v>63.206400000000002</v>
      </c>
    </row>
    <row r="44" spans="1:12" ht="30">
      <c r="A44" s="56" t="s">
        <v>106</v>
      </c>
      <c r="B44" s="17">
        <v>102192</v>
      </c>
      <c r="C44" s="18" t="s">
        <v>107</v>
      </c>
      <c r="D44" s="19" t="s">
        <v>49</v>
      </c>
      <c r="E44" s="20">
        <v>3.36</v>
      </c>
      <c r="F44" s="21">
        <v>12.86</v>
      </c>
      <c r="G44" s="21">
        <f t="shared" si="0"/>
        <v>16.899999999999999</v>
      </c>
      <c r="H44" s="57">
        <f t="shared" si="3"/>
        <v>56.78</v>
      </c>
      <c r="I44" s="22">
        <f t="shared" si="4"/>
        <v>43.209599999999995</v>
      </c>
    </row>
    <row r="45" spans="1:12" ht="15">
      <c r="A45" s="56" t="s">
        <v>108</v>
      </c>
      <c r="B45" s="17" t="s">
        <v>109</v>
      </c>
      <c r="C45" s="18" t="s">
        <v>110</v>
      </c>
      <c r="D45" s="19" t="s">
        <v>49</v>
      </c>
      <c r="E45" s="20">
        <v>16.329999999999998</v>
      </c>
      <c r="F45" s="21">
        <v>0.9</v>
      </c>
      <c r="G45" s="21">
        <f t="shared" si="0"/>
        <v>1.18</v>
      </c>
      <c r="H45" s="57">
        <f t="shared" si="3"/>
        <v>19.260000000000002</v>
      </c>
      <c r="I45" s="22">
        <f t="shared" si="4"/>
        <v>14.696999999999999</v>
      </c>
    </row>
    <row r="46" spans="1:12" ht="90">
      <c r="A46" s="56" t="s">
        <v>111</v>
      </c>
      <c r="B46" s="17" t="s">
        <v>112</v>
      </c>
      <c r="C46" s="18" t="s">
        <v>113</v>
      </c>
      <c r="D46" s="19" t="s">
        <v>38</v>
      </c>
      <c r="E46" s="20">
        <v>100</v>
      </c>
      <c r="F46" s="21">
        <v>7.4</v>
      </c>
      <c r="G46" s="21">
        <f t="shared" si="0"/>
        <v>9.7200000000000006</v>
      </c>
      <c r="H46" s="57">
        <f t="shared" si="3"/>
        <v>972</v>
      </c>
      <c r="I46" s="22">
        <f t="shared" si="4"/>
        <v>740</v>
      </c>
    </row>
    <row r="47" spans="1:12" ht="105">
      <c r="A47" s="56" t="s">
        <v>114</v>
      </c>
      <c r="B47" s="17" t="s">
        <v>115</v>
      </c>
      <c r="C47" s="18" t="s">
        <v>116</v>
      </c>
      <c r="D47" s="19" t="s">
        <v>38</v>
      </c>
      <c r="E47" s="20">
        <v>50</v>
      </c>
      <c r="F47" s="21">
        <v>10.66</v>
      </c>
      <c r="G47" s="21">
        <f t="shared" si="0"/>
        <v>14.01</v>
      </c>
      <c r="H47" s="57">
        <f t="shared" si="3"/>
        <v>700.5</v>
      </c>
      <c r="I47" s="22">
        <f t="shared" si="4"/>
        <v>533</v>
      </c>
    </row>
    <row r="48" spans="1:12" ht="15">
      <c r="A48" s="54" t="s">
        <v>117</v>
      </c>
      <c r="B48" s="10"/>
      <c r="C48" s="11" t="s">
        <v>118</v>
      </c>
      <c r="D48" s="12" t="s">
        <v>16</v>
      </c>
      <c r="E48" s="13">
        <v>0</v>
      </c>
      <c r="F48" s="23">
        <v>0</v>
      </c>
      <c r="G48" s="14">
        <f t="shared" si="0"/>
        <v>0</v>
      </c>
      <c r="H48" s="55">
        <f>SUM(H49:H65)</f>
        <v>40018.229999999996</v>
      </c>
      <c r="I48" s="22"/>
      <c r="J48" s="24"/>
      <c r="L48" s="25"/>
    </row>
    <row r="49" spans="1:11" s="16" customFormat="1" ht="60">
      <c r="A49" s="56" t="s">
        <v>119</v>
      </c>
      <c r="B49" s="17">
        <v>96523</v>
      </c>
      <c r="C49" s="18" t="s">
        <v>120</v>
      </c>
      <c r="D49" s="19" t="s">
        <v>59</v>
      </c>
      <c r="E49" s="20">
        <f>3+2.06</f>
        <v>5.0600000000000005</v>
      </c>
      <c r="F49" s="21">
        <v>83.29</v>
      </c>
      <c r="G49" s="21">
        <f t="shared" si="0"/>
        <v>109.5</v>
      </c>
      <c r="H49" s="57">
        <f t="shared" ref="H49:H65" si="5">TRUNC(E49*G49,2)</f>
        <v>554.07000000000005</v>
      </c>
      <c r="I49" s="22">
        <f t="shared" ref="I49:I65" si="6">E49*F49</f>
        <v>421.44740000000007</v>
      </c>
      <c r="K49" s="2"/>
    </row>
    <row r="50" spans="1:11" s="16" customFormat="1" ht="15">
      <c r="A50" s="56" t="s">
        <v>121</v>
      </c>
      <c r="B50" s="17" t="s">
        <v>122</v>
      </c>
      <c r="C50" s="18" t="s">
        <v>123</v>
      </c>
      <c r="D50" s="19" t="s">
        <v>49</v>
      </c>
      <c r="E50" s="20">
        <f>6.4+2.94+3</f>
        <v>12.34</v>
      </c>
      <c r="F50" s="21">
        <v>3.85</v>
      </c>
      <c r="G50" s="21">
        <f t="shared" si="0"/>
        <v>5.0599999999999996</v>
      </c>
      <c r="H50" s="57">
        <f t="shared" si="5"/>
        <v>62.44</v>
      </c>
      <c r="I50" s="22">
        <f t="shared" si="6"/>
        <v>47.509</v>
      </c>
      <c r="K50" s="2"/>
    </row>
    <row r="51" spans="1:11" ht="45">
      <c r="A51" s="56" t="s">
        <v>124</v>
      </c>
      <c r="B51" s="17">
        <v>96617</v>
      </c>
      <c r="C51" s="18" t="s">
        <v>125</v>
      </c>
      <c r="D51" s="19" t="s">
        <v>49</v>
      </c>
      <c r="E51" s="20">
        <f>6.4+2.94</f>
        <v>9.34</v>
      </c>
      <c r="F51" s="21">
        <v>18.29</v>
      </c>
      <c r="G51" s="21">
        <f t="shared" si="0"/>
        <v>24.04</v>
      </c>
      <c r="H51" s="57">
        <f t="shared" si="5"/>
        <v>224.53</v>
      </c>
      <c r="I51" s="22">
        <f t="shared" si="6"/>
        <v>170.82859999999999</v>
      </c>
    </row>
    <row r="52" spans="1:11" ht="60">
      <c r="A52" s="56" t="s">
        <v>126</v>
      </c>
      <c r="B52" s="17">
        <v>101097</v>
      </c>
      <c r="C52" s="18" t="s">
        <v>127</v>
      </c>
      <c r="D52" s="19" t="s">
        <v>59</v>
      </c>
      <c r="E52" s="20">
        <v>5.0199999999999996</v>
      </c>
      <c r="F52" s="21">
        <v>1183.4000000000001</v>
      </c>
      <c r="G52" s="21">
        <f t="shared" si="0"/>
        <v>1555.93</v>
      </c>
      <c r="H52" s="57">
        <f t="shared" si="5"/>
        <v>7810.76</v>
      </c>
      <c r="I52" s="22">
        <f t="shared" si="6"/>
        <v>5940.6679999999997</v>
      </c>
    </row>
    <row r="53" spans="1:11" s="26" customFormat="1" ht="45">
      <c r="A53" s="56" t="s">
        <v>128</v>
      </c>
      <c r="B53" s="17">
        <v>96527</v>
      </c>
      <c r="C53" s="18" t="s">
        <v>129</v>
      </c>
      <c r="D53" s="19" t="s">
        <v>59</v>
      </c>
      <c r="E53" s="20">
        <f>5.4+0.9</f>
        <v>6.3000000000000007</v>
      </c>
      <c r="F53" s="21">
        <v>109.17</v>
      </c>
      <c r="G53" s="21">
        <f t="shared" si="0"/>
        <v>143.53</v>
      </c>
      <c r="H53" s="57">
        <f t="shared" si="5"/>
        <v>904.23</v>
      </c>
      <c r="I53" s="22">
        <f t="shared" si="6"/>
        <v>687.77100000000007</v>
      </c>
      <c r="K53" s="2"/>
    </row>
    <row r="54" spans="1:11" s="26" customFormat="1" ht="30">
      <c r="A54" s="56" t="s">
        <v>130</v>
      </c>
      <c r="B54" s="17" t="s">
        <v>131</v>
      </c>
      <c r="C54" s="18" t="s">
        <v>132</v>
      </c>
      <c r="D54" s="19" t="s">
        <v>86</v>
      </c>
      <c r="E54" s="20">
        <f>0.27+0.15</f>
        <v>0.42000000000000004</v>
      </c>
      <c r="F54" s="21">
        <v>500.96</v>
      </c>
      <c r="G54" s="21">
        <f t="shared" si="0"/>
        <v>658.66</v>
      </c>
      <c r="H54" s="57">
        <f t="shared" si="5"/>
        <v>276.63</v>
      </c>
      <c r="I54" s="22">
        <f t="shared" si="6"/>
        <v>210.4032</v>
      </c>
      <c r="K54" s="2"/>
    </row>
    <row r="55" spans="1:11" s="26" customFormat="1" ht="30">
      <c r="A55" s="56" t="s">
        <v>133</v>
      </c>
      <c r="B55" s="17">
        <v>93382</v>
      </c>
      <c r="C55" s="18" t="s">
        <v>134</v>
      </c>
      <c r="D55" s="19" t="s">
        <v>59</v>
      </c>
      <c r="E55" s="20">
        <v>3.78</v>
      </c>
      <c r="F55" s="21">
        <v>27.44</v>
      </c>
      <c r="G55" s="21">
        <f t="shared" si="0"/>
        <v>36.07</v>
      </c>
      <c r="H55" s="57">
        <f t="shared" si="5"/>
        <v>136.34</v>
      </c>
      <c r="I55" s="22">
        <f t="shared" si="6"/>
        <v>103.72320000000001</v>
      </c>
      <c r="K55" s="2"/>
    </row>
    <row r="56" spans="1:11" s="26" customFormat="1" ht="60">
      <c r="A56" s="56" t="s">
        <v>135</v>
      </c>
      <c r="B56" s="17" t="s">
        <v>136</v>
      </c>
      <c r="C56" s="18" t="s">
        <v>137</v>
      </c>
      <c r="D56" s="19" t="s">
        <v>86</v>
      </c>
      <c r="E56" s="20">
        <f>4.62+3.85</f>
        <v>8.4700000000000006</v>
      </c>
      <c r="F56" s="21">
        <v>21.01</v>
      </c>
      <c r="G56" s="21">
        <f t="shared" si="0"/>
        <v>27.62</v>
      </c>
      <c r="H56" s="57">
        <f t="shared" si="5"/>
        <v>233.94</v>
      </c>
      <c r="I56" s="22">
        <f t="shared" si="6"/>
        <v>177.95470000000003</v>
      </c>
      <c r="K56" s="2"/>
    </row>
    <row r="57" spans="1:11" s="26" customFormat="1" ht="75">
      <c r="A57" s="56" t="s">
        <v>138</v>
      </c>
      <c r="B57" s="17" t="s">
        <v>139</v>
      </c>
      <c r="C57" s="18" t="s">
        <v>140</v>
      </c>
      <c r="D57" s="19" t="s">
        <v>86</v>
      </c>
      <c r="E57" s="20">
        <f>4.62+3.85</f>
        <v>8.4700000000000006</v>
      </c>
      <c r="F57" s="21">
        <v>4.1399999999999997</v>
      </c>
      <c r="G57" s="21">
        <f t="shared" si="0"/>
        <v>5.44</v>
      </c>
      <c r="H57" s="57">
        <f t="shared" si="5"/>
        <v>46.07</v>
      </c>
      <c r="I57" s="22">
        <f t="shared" si="6"/>
        <v>35.065800000000003</v>
      </c>
      <c r="K57" s="2"/>
    </row>
    <row r="58" spans="1:11" s="27" customFormat="1" ht="60">
      <c r="A58" s="56" t="s">
        <v>141</v>
      </c>
      <c r="B58" s="17">
        <v>96538</v>
      </c>
      <c r="C58" s="18" t="s">
        <v>142</v>
      </c>
      <c r="D58" s="19" t="s">
        <v>49</v>
      </c>
      <c r="E58" s="20">
        <f>9.6+11.76</f>
        <v>21.36</v>
      </c>
      <c r="F58" s="21">
        <v>254.2</v>
      </c>
      <c r="G58" s="21">
        <f t="shared" si="0"/>
        <v>334.22</v>
      </c>
      <c r="H58" s="57">
        <f t="shared" si="5"/>
        <v>7138.93</v>
      </c>
      <c r="I58" s="22">
        <f t="shared" si="6"/>
        <v>5429.7119999999995</v>
      </c>
      <c r="K58" s="2"/>
    </row>
    <row r="59" spans="1:11" s="26" customFormat="1" ht="60">
      <c r="A59" s="56" t="s">
        <v>143</v>
      </c>
      <c r="B59" s="17">
        <v>96539</v>
      </c>
      <c r="C59" s="18" t="s">
        <v>144</v>
      </c>
      <c r="D59" s="19" t="s">
        <v>49</v>
      </c>
      <c r="E59" s="20">
        <f>27.02+9</f>
        <v>36.019999999999996</v>
      </c>
      <c r="F59" s="21">
        <v>115.96</v>
      </c>
      <c r="G59" s="21">
        <f t="shared" si="0"/>
        <v>152.46</v>
      </c>
      <c r="H59" s="57">
        <f t="shared" si="5"/>
        <v>5491.6</v>
      </c>
      <c r="I59" s="22">
        <f t="shared" si="6"/>
        <v>4176.8791999999994</v>
      </c>
      <c r="K59" s="2"/>
    </row>
    <row r="60" spans="1:11" s="26" customFormat="1" ht="45">
      <c r="A60" s="56" t="s">
        <v>145</v>
      </c>
      <c r="B60" s="17">
        <v>96543</v>
      </c>
      <c r="C60" s="18" t="s">
        <v>146</v>
      </c>
      <c r="D60" s="19" t="s">
        <v>147</v>
      </c>
      <c r="E60" s="20">
        <f>35.23+41.16+18</f>
        <v>94.389999999999986</v>
      </c>
      <c r="F60" s="21">
        <v>17.09</v>
      </c>
      <c r="G60" s="21">
        <f t="shared" si="0"/>
        <v>22.46</v>
      </c>
      <c r="H60" s="57">
        <f t="shared" si="5"/>
        <v>2119.9899999999998</v>
      </c>
      <c r="I60" s="22">
        <f t="shared" si="6"/>
        <v>1613.1250999999997</v>
      </c>
      <c r="K60" s="2"/>
    </row>
    <row r="61" spans="1:11" s="26" customFormat="1" ht="45">
      <c r="A61" s="56" t="s">
        <v>148</v>
      </c>
      <c r="B61" s="17">
        <v>96545</v>
      </c>
      <c r="C61" s="18" t="s">
        <v>149</v>
      </c>
      <c r="D61" s="19" t="s">
        <v>147</v>
      </c>
      <c r="E61" s="20">
        <f>71.15+74.09+32.4</f>
        <v>177.64000000000001</v>
      </c>
      <c r="F61" s="21">
        <v>14.73</v>
      </c>
      <c r="G61" s="21">
        <f t="shared" si="0"/>
        <v>19.36</v>
      </c>
      <c r="H61" s="57">
        <f t="shared" si="5"/>
        <v>3439.11</v>
      </c>
      <c r="I61" s="22">
        <f t="shared" si="6"/>
        <v>2616.6372000000001</v>
      </c>
      <c r="K61" s="2"/>
    </row>
    <row r="62" spans="1:11" s="26" customFormat="1" ht="45">
      <c r="A62" s="56" t="s">
        <v>150</v>
      </c>
      <c r="B62" s="17">
        <v>96546</v>
      </c>
      <c r="C62" s="18" t="s">
        <v>151</v>
      </c>
      <c r="D62" s="19" t="s">
        <v>147</v>
      </c>
      <c r="E62" s="20">
        <f>47.88+49.39+21.6</f>
        <v>118.87</v>
      </c>
      <c r="F62" s="21">
        <v>13.09</v>
      </c>
      <c r="G62" s="21">
        <f t="shared" si="0"/>
        <v>17.21</v>
      </c>
      <c r="H62" s="57">
        <f t="shared" si="5"/>
        <v>2045.75</v>
      </c>
      <c r="I62" s="22">
        <f t="shared" si="6"/>
        <v>1556.0083</v>
      </c>
      <c r="K62" s="2"/>
    </row>
    <row r="63" spans="1:11" s="26" customFormat="1" ht="60">
      <c r="A63" s="56" t="s">
        <v>152</v>
      </c>
      <c r="B63" s="17">
        <v>96555</v>
      </c>
      <c r="C63" s="18" t="s">
        <v>153</v>
      </c>
      <c r="D63" s="19" t="s">
        <v>59</v>
      </c>
      <c r="E63" s="20">
        <f>2.7+2.06+0.9</f>
        <v>5.66</v>
      </c>
      <c r="F63" s="21">
        <v>680.34</v>
      </c>
      <c r="G63" s="21">
        <f t="shared" si="0"/>
        <v>894.51</v>
      </c>
      <c r="H63" s="57">
        <f t="shared" si="5"/>
        <v>5062.92</v>
      </c>
      <c r="I63" s="22">
        <f t="shared" si="6"/>
        <v>3850.7244000000001</v>
      </c>
      <c r="K63" s="2"/>
    </row>
    <row r="64" spans="1:11" s="26" customFormat="1" ht="45">
      <c r="A64" s="56" t="s">
        <v>154</v>
      </c>
      <c r="B64" s="17">
        <v>96556</v>
      </c>
      <c r="C64" s="18" t="s">
        <v>155</v>
      </c>
      <c r="D64" s="19" t="s">
        <v>59</v>
      </c>
      <c r="E64" s="20">
        <v>1.92</v>
      </c>
      <c r="F64" s="21">
        <v>757.24</v>
      </c>
      <c r="G64" s="21">
        <f t="shared" si="0"/>
        <v>995.61</v>
      </c>
      <c r="H64" s="57">
        <f t="shared" si="5"/>
        <v>1911.57</v>
      </c>
      <c r="I64" s="22">
        <f t="shared" si="6"/>
        <v>1453.9007999999999</v>
      </c>
      <c r="K64" s="2"/>
    </row>
    <row r="65" spans="1:11" s="26" customFormat="1" ht="30">
      <c r="A65" s="56" t="s">
        <v>156</v>
      </c>
      <c r="B65" s="17">
        <v>98557</v>
      </c>
      <c r="C65" s="18" t="s">
        <v>157</v>
      </c>
      <c r="D65" s="19" t="s">
        <v>49</v>
      </c>
      <c r="E65" s="20">
        <f>36.62+12</f>
        <v>48.62</v>
      </c>
      <c r="F65" s="21">
        <v>40.04</v>
      </c>
      <c r="G65" s="21">
        <f t="shared" si="0"/>
        <v>52.64</v>
      </c>
      <c r="H65" s="57">
        <f t="shared" si="5"/>
        <v>2559.35</v>
      </c>
      <c r="I65" s="22">
        <f t="shared" si="6"/>
        <v>1946.7447999999999</v>
      </c>
      <c r="K65" s="2"/>
    </row>
    <row r="66" spans="1:11" s="27" customFormat="1" ht="15">
      <c r="A66" s="54" t="s">
        <v>158</v>
      </c>
      <c r="B66" s="10"/>
      <c r="C66" s="11" t="s">
        <v>159</v>
      </c>
      <c r="D66" s="12" t="s">
        <v>16</v>
      </c>
      <c r="E66" s="13">
        <v>0</v>
      </c>
      <c r="F66" s="23">
        <v>0</v>
      </c>
      <c r="G66" s="14">
        <f t="shared" si="0"/>
        <v>0</v>
      </c>
      <c r="H66" s="55">
        <f>SUM(H67:H72)</f>
        <v>64319.5</v>
      </c>
      <c r="I66" s="22"/>
      <c r="K66" s="2"/>
    </row>
    <row r="67" spans="1:11" s="26" customFormat="1" ht="45">
      <c r="A67" s="56" t="s">
        <v>160</v>
      </c>
      <c r="B67" s="17">
        <v>92263</v>
      </c>
      <c r="C67" s="18" t="s">
        <v>161</v>
      </c>
      <c r="D67" s="19" t="s">
        <v>49</v>
      </c>
      <c r="E67" s="20">
        <f>22.4+9.28</f>
        <v>31.68</v>
      </c>
      <c r="F67" s="20">
        <v>154.58000000000001</v>
      </c>
      <c r="G67" s="21">
        <f t="shared" si="0"/>
        <v>203.24</v>
      </c>
      <c r="H67" s="57">
        <f t="shared" ref="H67:H72" si="7">TRUNC(E67*G67,2)</f>
        <v>6438.64</v>
      </c>
      <c r="I67" s="22">
        <f t="shared" ref="I67:I72" si="8">E67*F67</f>
        <v>4897.0944</v>
      </c>
      <c r="K67" s="2"/>
    </row>
    <row r="68" spans="1:11" s="26" customFormat="1" ht="45">
      <c r="A68" s="56" t="s">
        <v>162</v>
      </c>
      <c r="B68" s="17">
        <v>92265</v>
      </c>
      <c r="C68" s="18" t="s">
        <v>163</v>
      </c>
      <c r="D68" s="19" t="s">
        <v>49</v>
      </c>
      <c r="E68" s="20">
        <f>36.02+9</f>
        <v>45.02</v>
      </c>
      <c r="F68" s="20">
        <v>111.14</v>
      </c>
      <c r="G68" s="21">
        <f t="shared" si="0"/>
        <v>146.12</v>
      </c>
      <c r="H68" s="57">
        <f t="shared" si="7"/>
        <v>6578.32</v>
      </c>
      <c r="I68" s="22">
        <f t="shared" si="8"/>
        <v>5003.5228000000006</v>
      </c>
      <c r="K68" s="2"/>
    </row>
    <row r="69" spans="1:11" s="26" customFormat="1" ht="15">
      <c r="A69" s="56" t="s">
        <v>164</v>
      </c>
      <c r="B69" s="17" t="s">
        <v>165</v>
      </c>
      <c r="C69" s="18" t="s">
        <v>166</v>
      </c>
      <c r="D69" s="19" t="s">
        <v>147</v>
      </c>
      <c r="E69" s="20">
        <v>543.71</v>
      </c>
      <c r="F69" s="20">
        <v>12.82</v>
      </c>
      <c r="G69" s="21">
        <f t="shared" si="0"/>
        <v>16.850000000000001</v>
      </c>
      <c r="H69" s="57">
        <f t="shared" si="7"/>
        <v>9161.51</v>
      </c>
      <c r="I69" s="22">
        <f t="shared" si="8"/>
        <v>6970.3622000000005</v>
      </c>
      <c r="K69" s="2"/>
    </row>
    <row r="70" spans="1:11" s="26" customFormat="1" ht="45">
      <c r="A70" s="56" t="s">
        <v>167</v>
      </c>
      <c r="B70" s="17">
        <v>103669</v>
      </c>
      <c r="C70" s="18" t="s">
        <v>168</v>
      </c>
      <c r="D70" s="19" t="s">
        <v>59</v>
      </c>
      <c r="E70" s="20">
        <f>1.12+0.65</f>
        <v>1.77</v>
      </c>
      <c r="F70" s="20">
        <v>969.34</v>
      </c>
      <c r="G70" s="21">
        <f t="shared" si="0"/>
        <v>1274.48</v>
      </c>
      <c r="H70" s="57">
        <f t="shared" si="7"/>
        <v>2255.8200000000002</v>
      </c>
      <c r="I70" s="22">
        <f t="shared" si="8"/>
        <v>1715.7318</v>
      </c>
      <c r="K70" s="2"/>
    </row>
    <row r="71" spans="1:11" ht="60">
      <c r="A71" s="56" t="s">
        <v>169</v>
      </c>
      <c r="B71" s="17">
        <v>103674</v>
      </c>
      <c r="C71" s="18" t="s">
        <v>170</v>
      </c>
      <c r="D71" s="19" t="s">
        <v>59</v>
      </c>
      <c r="E71" s="20">
        <f>2.7+0.67</f>
        <v>3.37</v>
      </c>
      <c r="F71" s="20">
        <v>729.03</v>
      </c>
      <c r="G71" s="21">
        <f t="shared" si="0"/>
        <v>958.52</v>
      </c>
      <c r="H71" s="57">
        <f t="shared" si="7"/>
        <v>3230.21</v>
      </c>
      <c r="I71" s="22">
        <f t="shared" si="8"/>
        <v>2456.8310999999999</v>
      </c>
    </row>
    <row r="72" spans="1:11" ht="60">
      <c r="A72" s="56" t="s">
        <v>171</v>
      </c>
      <c r="B72" s="17">
        <v>101964</v>
      </c>
      <c r="C72" s="18" t="s">
        <v>172</v>
      </c>
      <c r="D72" s="19" t="s">
        <v>49</v>
      </c>
      <c r="E72" s="20">
        <f>117.6+9.98</f>
        <v>127.58</v>
      </c>
      <c r="F72" s="20">
        <v>218.52</v>
      </c>
      <c r="G72" s="21">
        <f t="shared" si="0"/>
        <v>287.31</v>
      </c>
      <c r="H72" s="57">
        <f t="shared" si="7"/>
        <v>36655</v>
      </c>
      <c r="I72" s="22">
        <f t="shared" si="8"/>
        <v>27878.781600000002</v>
      </c>
    </row>
    <row r="73" spans="1:11" ht="15">
      <c r="A73" s="54" t="s">
        <v>173</v>
      </c>
      <c r="B73" s="10"/>
      <c r="C73" s="11" t="s">
        <v>174</v>
      </c>
      <c r="D73" s="12" t="s">
        <v>16</v>
      </c>
      <c r="E73" s="13">
        <v>0</v>
      </c>
      <c r="F73" s="28">
        <v>0</v>
      </c>
      <c r="G73" s="14">
        <f t="shared" si="0"/>
        <v>0</v>
      </c>
      <c r="H73" s="55">
        <f>SUM(H74:H78)</f>
        <v>40410.360000000008</v>
      </c>
      <c r="I73" s="22"/>
    </row>
    <row r="74" spans="1:11" ht="45">
      <c r="A74" s="56" t="s">
        <v>175</v>
      </c>
      <c r="B74" s="17" t="s">
        <v>176</v>
      </c>
      <c r="C74" s="18" t="s">
        <v>177</v>
      </c>
      <c r="D74" s="19" t="s">
        <v>42</v>
      </c>
      <c r="E74" s="20">
        <f>135.88+35.29-14.88+11.56</f>
        <v>167.85</v>
      </c>
      <c r="F74" s="20">
        <v>65.400000000000006</v>
      </c>
      <c r="G74" s="21">
        <f t="shared" si="0"/>
        <v>85.98</v>
      </c>
      <c r="H74" s="57">
        <f>TRUNC(E74*G74,2)</f>
        <v>14431.74</v>
      </c>
      <c r="I74" s="22">
        <f>E74*F74</f>
        <v>10977.390000000001</v>
      </c>
    </row>
    <row r="75" spans="1:11" ht="45">
      <c r="A75" s="56" t="s">
        <v>178</v>
      </c>
      <c r="B75" s="17" t="s">
        <v>179</v>
      </c>
      <c r="C75" s="18" t="s">
        <v>180</v>
      </c>
      <c r="D75" s="19" t="s">
        <v>42</v>
      </c>
      <c r="E75" s="20">
        <f>173.65+4.41</f>
        <v>178.06</v>
      </c>
      <c r="F75" s="20">
        <v>78.73</v>
      </c>
      <c r="G75" s="21">
        <f t="shared" si="0"/>
        <v>103.51</v>
      </c>
      <c r="H75" s="57">
        <f>TRUNC(E75*G75,2)</f>
        <v>18430.990000000002</v>
      </c>
      <c r="I75" s="22">
        <f>E75*F75</f>
        <v>14018.6638</v>
      </c>
    </row>
    <row r="76" spans="1:11" ht="60">
      <c r="A76" s="56" t="s">
        <v>181</v>
      </c>
      <c r="B76" s="17">
        <v>101161</v>
      </c>
      <c r="C76" s="18" t="s">
        <v>182</v>
      </c>
      <c r="D76" s="19" t="s">
        <v>49</v>
      </c>
      <c r="E76" s="20">
        <v>1.3</v>
      </c>
      <c r="F76" s="20">
        <v>200.45</v>
      </c>
      <c r="G76" s="21">
        <f t="shared" si="0"/>
        <v>263.55</v>
      </c>
      <c r="H76" s="57">
        <f>TRUNC(E76*G76,2)</f>
        <v>342.61</v>
      </c>
      <c r="I76" s="22">
        <f>E76*F76</f>
        <v>260.58499999999998</v>
      </c>
    </row>
    <row r="77" spans="1:11" ht="30">
      <c r="A77" s="56" t="s">
        <v>183</v>
      </c>
      <c r="B77" s="17">
        <v>93186</v>
      </c>
      <c r="C77" s="18" t="s">
        <v>184</v>
      </c>
      <c r="D77" s="19" t="s">
        <v>185</v>
      </c>
      <c r="E77" s="20">
        <v>25.3</v>
      </c>
      <c r="F77" s="20">
        <v>115.85</v>
      </c>
      <c r="G77" s="21">
        <f t="shared" si="0"/>
        <v>152.31</v>
      </c>
      <c r="H77" s="57">
        <f>TRUNC(E77*G77,2)</f>
        <v>3853.44</v>
      </c>
      <c r="I77" s="22">
        <f>E77*F77</f>
        <v>2931.0050000000001</v>
      </c>
    </row>
    <row r="78" spans="1:11" s="16" customFormat="1" ht="45">
      <c r="A78" s="56" t="s">
        <v>186</v>
      </c>
      <c r="B78" s="17">
        <v>93196</v>
      </c>
      <c r="C78" s="18" t="s">
        <v>187</v>
      </c>
      <c r="D78" s="19" t="s">
        <v>185</v>
      </c>
      <c r="E78" s="20">
        <v>22.6</v>
      </c>
      <c r="F78" s="20">
        <v>112.8</v>
      </c>
      <c r="G78" s="21">
        <f t="shared" si="0"/>
        <v>148.30000000000001</v>
      </c>
      <c r="H78" s="57">
        <f>TRUNC(E78*G78,2)</f>
        <v>3351.58</v>
      </c>
      <c r="I78" s="22">
        <f>E78*F78</f>
        <v>2549.2800000000002</v>
      </c>
      <c r="K78" s="2"/>
    </row>
    <row r="79" spans="1:11" ht="15">
      <c r="A79" s="54" t="s">
        <v>188</v>
      </c>
      <c r="B79" s="10"/>
      <c r="C79" s="11" t="s">
        <v>189</v>
      </c>
      <c r="D79" s="12" t="s">
        <v>16</v>
      </c>
      <c r="E79" s="13">
        <v>0</v>
      </c>
      <c r="F79" s="23">
        <v>0</v>
      </c>
      <c r="G79" s="14">
        <f t="shared" ref="G79:G142" si="9">TRUNC(F79*(1+$H$9),2)</f>
        <v>0</v>
      </c>
      <c r="H79" s="55">
        <f>SUM(H80:H87)</f>
        <v>96825.23000000001</v>
      </c>
      <c r="I79" s="22"/>
    </row>
    <row r="80" spans="1:11" ht="30">
      <c r="A80" s="56" t="s">
        <v>190</v>
      </c>
      <c r="B80" s="17" t="s">
        <v>191</v>
      </c>
      <c r="C80" s="18" t="s">
        <v>192</v>
      </c>
      <c r="D80" s="19" t="s">
        <v>49</v>
      </c>
      <c r="E80" s="20">
        <v>248.69</v>
      </c>
      <c r="F80" s="21">
        <v>4.24</v>
      </c>
      <c r="G80" s="21">
        <f t="shared" si="9"/>
        <v>5.57</v>
      </c>
      <c r="H80" s="57">
        <f t="shared" ref="H80:H87" si="10">TRUNC(E80*G80,2)</f>
        <v>1385.2</v>
      </c>
      <c r="I80" s="22">
        <f t="shared" ref="I80:I93" si="11">E80*F80</f>
        <v>1054.4456</v>
      </c>
    </row>
    <row r="81" spans="1:11" ht="15">
      <c r="A81" s="56" t="s">
        <v>193</v>
      </c>
      <c r="B81" s="17" t="s">
        <v>194</v>
      </c>
      <c r="C81" s="18" t="s">
        <v>195</v>
      </c>
      <c r="D81" s="19" t="s">
        <v>49</v>
      </c>
      <c r="E81" s="20">
        <v>248.69</v>
      </c>
      <c r="F81" s="21">
        <v>52.85</v>
      </c>
      <c r="G81" s="21">
        <f t="shared" si="9"/>
        <v>69.48</v>
      </c>
      <c r="H81" s="57">
        <f t="shared" si="10"/>
        <v>17278.98</v>
      </c>
      <c r="I81" s="22">
        <f t="shared" si="11"/>
        <v>13143.2665</v>
      </c>
    </row>
    <row r="82" spans="1:11" ht="30">
      <c r="A82" s="56" t="s">
        <v>196</v>
      </c>
      <c r="B82" s="17" t="s">
        <v>197</v>
      </c>
      <c r="C82" s="18" t="s">
        <v>198</v>
      </c>
      <c r="D82" s="19" t="s">
        <v>42</v>
      </c>
      <c r="E82" s="20">
        <f>248.69+24.91</f>
        <v>273.60000000000002</v>
      </c>
      <c r="F82" s="21">
        <v>36.11</v>
      </c>
      <c r="G82" s="21">
        <f t="shared" si="9"/>
        <v>47.47</v>
      </c>
      <c r="H82" s="57">
        <f t="shared" si="10"/>
        <v>12987.79</v>
      </c>
      <c r="I82" s="22">
        <f t="shared" si="11"/>
        <v>9879.6959999999999</v>
      </c>
    </row>
    <row r="83" spans="1:11" ht="60">
      <c r="A83" s="56" t="s">
        <v>199</v>
      </c>
      <c r="B83" s="17">
        <v>87260</v>
      </c>
      <c r="C83" s="18" t="s">
        <v>200</v>
      </c>
      <c r="D83" s="19" t="s">
        <v>49</v>
      </c>
      <c r="E83" s="20">
        <f>248.69+24.91</f>
        <v>273.60000000000002</v>
      </c>
      <c r="F83" s="21">
        <v>125.1</v>
      </c>
      <c r="G83" s="21">
        <f t="shared" si="9"/>
        <v>164.48</v>
      </c>
      <c r="H83" s="57">
        <f t="shared" si="10"/>
        <v>45001.72</v>
      </c>
      <c r="I83" s="22">
        <f t="shared" si="11"/>
        <v>34227.360000000001</v>
      </c>
    </row>
    <row r="84" spans="1:11" ht="30">
      <c r="A84" s="56" t="s">
        <v>201</v>
      </c>
      <c r="B84" s="17" t="s">
        <v>202</v>
      </c>
      <c r="C84" s="18" t="s">
        <v>203</v>
      </c>
      <c r="D84" s="19" t="s">
        <v>185</v>
      </c>
      <c r="E84" s="20">
        <v>214.34</v>
      </c>
      <c r="F84" s="21">
        <v>16.72</v>
      </c>
      <c r="G84" s="21">
        <f t="shared" si="9"/>
        <v>21.98</v>
      </c>
      <c r="H84" s="57">
        <f t="shared" si="10"/>
        <v>4711.1899999999996</v>
      </c>
      <c r="I84" s="22">
        <f t="shared" si="11"/>
        <v>3583.7647999999999</v>
      </c>
    </row>
    <row r="85" spans="1:11" ht="75">
      <c r="A85" s="56" t="s">
        <v>204</v>
      </c>
      <c r="B85" s="17" t="s">
        <v>205</v>
      </c>
      <c r="C85" s="18" t="s">
        <v>206</v>
      </c>
      <c r="D85" s="19" t="s">
        <v>42</v>
      </c>
      <c r="E85" s="20">
        <v>15.05</v>
      </c>
      <c r="F85" s="21">
        <v>78.73</v>
      </c>
      <c r="G85" s="21">
        <f t="shared" si="9"/>
        <v>103.51</v>
      </c>
      <c r="H85" s="57">
        <f t="shared" si="10"/>
        <v>1557.82</v>
      </c>
      <c r="I85" s="22">
        <f t="shared" si="11"/>
        <v>1184.8865000000001</v>
      </c>
    </row>
    <row r="86" spans="1:11" ht="75">
      <c r="A86" s="56" t="s">
        <v>207</v>
      </c>
      <c r="B86" s="17" t="s">
        <v>685</v>
      </c>
      <c r="C86" s="18" t="s">
        <v>209</v>
      </c>
      <c r="D86" s="19" t="s">
        <v>49</v>
      </c>
      <c r="E86" s="20">
        <v>40.68</v>
      </c>
      <c r="F86" s="21">
        <v>221.74</v>
      </c>
      <c r="G86" s="21">
        <f t="shared" si="9"/>
        <v>291.54000000000002</v>
      </c>
      <c r="H86" s="57">
        <f t="shared" si="10"/>
        <v>11859.84</v>
      </c>
      <c r="I86" s="22">
        <f t="shared" si="11"/>
        <v>9020.3832000000002</v>
      </c>
    </row>
    <row r="87" spans="1:11" ht="60">
      <c r="A87" s="56" t="s">
        <v>210</v>
      </c>
      <c r="B87" s="17">
        <v>94992</v>
      </c>
      <c r="C87" s="18" t="s">
        <v>211</v>
      </c>
      <c r="D87" s="19" t="s">
        <v>49</v>
      </c>
      <c r="E87" s="20">
        <v>19</v>
      </c>
      <c r="F87" s="21">
        <v>81.77</v>
      </c>
      <c r="G87" s="21">
        <f t="shared" si="9"/>
        <v>107.51</v>
      </c>
      <c r="H87" s="57">
        <f t="shared" si="10"/>
        <v>2042.69</v>
      </c>
      <c r="I87" s="22">
        <f t="shared" si="11"/>
        <v>1553.6299999999999</v>
      </c>
    </row>
    <row r="88" spans="1:11" ht="15">
      <c r="A88" s="54" t="s">
        <v>212</v>
      </c>
      <c r="B88" s="10"/>
      <c r="C88" s="11" t="s">
        <v>213</v>
      </c>
      <c r="D88" s="12" t="s">
        <v>16</v>
      </c>
      <c r="E88" s="13">
        <v>0</v>
      </c>
      <c r="F88" s="23">
        <v>0</v>
      </c>
      <c r="G88" s="14">
        <f t="shared" si="9"/>
        <v>0</v>
      </c>
      <c r="H88" s="55">
        <f>SUM(H89:H93)</f>
        <v>77547.48</v>
      </c>
      <c r="I88" s="22">
        <f t="shared" si="11"/>
        <v>0</v>
      </c>
    </row>
    <row r="89" spans="1:11" s="16" customFormat="1" ht="60">
      <c r="A89" s="56" t="s">
        <v>214</v>
      </c>
      <c r="B89" s="17" t="s">
        <v>215</v>
      </c>
      <c r="C89" s="18" t="s">
        <v>216</v>
      </c>
      <c r="D89" s="19" t="s">
        <v>42</v>
      </c>
      <c r="E89" s="20">
        <f>E90+E91</f>
        <v>800.23</v>
      </c>
      <c r="F89" s="21">
        <v>8.44</v>
      </c>
      <c r="G89" s="21">
        <f t="shared" si="9"/>
        <v>11.09</v>
      </c>
      <c r="H89" s="57">
        <f>TRUNC(E89*G89,2)</f>
        <v>8874.5499999999993</v>
      </c>
      <c r="I89" s="22">
        <f t="shared" si="11"/>
        <v>6753.9412000000002</v>
      </c>
      <c r="K89" s="2"/>
    </row>
    <row r="90" spans="1:11" ht="15">
      <c r="A90" s="56" t="s">
        <v>217</v>
      </c>
      <c r="B90" s="17" t="s">
        <v>218</v>
      </c>
      <c r="C90" s="18" t="s">
        <v>219</v>
      </c>
      <c r="D90" s="19" t="s">
        <v>49</v>
      </c>
      <c r="E90" s="20">
        <f>239.95+387.74</f>
        <v>627.69000000000005</v>
      </c>
      <c r="F90" s="21">
        <v>35.659999999999997</v>
      </c>
      <c r="G90" s="21">
        <f t="shared" si="9"/>
        <v>46.88</v>
      </c>
      <c r="H90" s="57">
        <f>TRUNC(E90*G90,2)</f>
        <v>29426.1</v>
      </c>
      <c r="I90" s="22">
        <f t="shared" si="11"/>
        <v>22383.4254</v>
      </c>
    </row>
    <row r="91" spans="1:11" ht="45">
      <c r="A91" s="56" t="s">
        <v>220</v>
      </c>
      <c r="B91" s="17" t="s">
        <v>221</v>
      </c>
      <c r="C91" s="18" t="s">
        <v>222</v>
      </c>
      <c r="D91" s="19" t="s">
        <v>42</v>
      </c>
      <c r="E91" s="20">
        <f>37.17+50.11+85.26</f>
        <v>172.54000000000002</v>
      </c>
      <c r="F91" s="21">
        <v>29.97</v>
      </c>
      <c r="G91" s="21">
        <f t="shared" si="9"/>
        <v>39.4</v>
      </c>
      <c r="H91" s="57">
        <f>TRUNC(E91*G91,2)</f>
        <v>6798.07</v>
      </c>
      <c r="I91" s="22">
        <f t="shared" si="11"/>
        <v>5171.0238000000008</v>
      </c>
    </row>
    <row r="92" spans="1:11" ht="45">
      <c r="A92" s="56" t="s">
        <v>223</v>
      </c>
      <c r="B92" s="17" t="s">
        <v>224</v>
      </c>
      <c r="C92" s="18" t="s">
        <v>225</v>
      </c>
      <c r="D92" s="19" t="s">
        <v>49</v>
      </c>
      <c r="E92" s="20">
        <f>37.17+50.11+85.26</f>
        <v>172.54000000000002</v>
      </c>
      <c r="F92" s="21">
        <v>141.16</v>
      </c>
      <c r="G92" s="21">
        <f t="shared" si="9"/>
        <v>185.59</v>
      </c>
      <c r="H92" s="57">
        <f>TRUNC(E92*G92,2)</f>
        <v>32021.69</v>
      </c>
      <c r="I92" s="22">
        <f t="shared" si="11"/>
        <v>24355.746400000004</v>
      </c>
    </row>
    <row r="93" spans="1:11" ht="30">
      <c r="A93" s="56" t="s">
        <v>226</v>
      </c>
      <c r="B93" s="17" t="s">
        <v>227</v>
      </c>
      <c r="C93" s="18" t="s">
        <v>228</v>
      </c>
      <c r="D93" s="19" t="s">
        <v>185</v>
      </c>
      <c r="E93" s="20">
        <v>14.25</v>
      </c>
      <c r="F93" s="21">
        <v>22.8</v>
      </c>
      <c r="G93" s="21">
        <f t="shared" si="9"/>
        <v>29.97</v>
      </c>
      <c r="H93" s="57">
        <f>TRUNC(E93*G93,2)</f>
        <v>427.07</v>
      </c>
      <c r="I93" s="22">
        <f t="shared" si="11"/>
        <v>324.90000000000003</v>
      </c>
    </row>
    <row r="94" spans="1:11" ht="15">
      <c r="A94" s="54" t="s">
        <v>229</v>
      </c>
      <c r="B94" s="10"/>
      <c r="C94" s="11" t="s">
        <v>230</v>
      </c>
      <c r="D94" s="12" t="s">
        <v>16</v>
      </c>
      <c r="E94" s="13">
        <v>0</v>
      </c>
      <c r="F94" s="23">
        <v>0</v>
      </c>
      <c r="G94" s="14">
        <f t="shared" si="9"/>
        <v>0</v>
      </c>
      <c r="H94" s="55">
        <f>SUM(H95:H96)</f>
        <v>7864.52</v>
      </c>
      <c r="I94" s="22"/>
    </row>
    <row r="95" spans="1:11" ht="60">
      <c r="A95" s="56" t="s">
        <v>231</v>
      </c>
      <c r="B95" s="17">
        <v>87415</v>
      </c>
      <c r="C95" s="18" t="s">
        <v>232</v>
      </c>
      <c r="D95" s="19" t="s">
        <v>49</v>
      </c>
      <c r="E95" s="20">
        <f>78.88+24.91</f>
        <v>103.78999999999999</v>
      </c>
      <c r="F95" s="21">
        <v>32.520000000000003</v>
      </c>
      <c r="G95" s="21">
        <f t="shared" si="9"/>
        <v>42.75</v>
      </c>
      <c r="H95" s="57">
        <f>TRUNC(E95*G95,2)</f>
        <v>4437.0200000000004</v>
      </c>
      <c r="I95" s="22">
        <f t="shared" ref="I95:I110" si="12">E95*F95</f>
        <v>3375.2508000000003</v>
      </c>
    </row>
    <row r="96" spans="1:11" ht="30">
      <c r="A96" s="56" t="s">
        <v>233</v>
      </c>
      <c r="B96" s="17">
        <v>96113</v>
      </c>
      <c r="C96" s="18" t="s">
        <v>234</v>
      </c>
      <c r="D96" s="19" t="s">
        <v>49</v>
      </c>
      <c r="E96" s="20">
        <f>46.2+24.91</f>
        <v>71.11</v>
      </c>
      <c r="F96" s="21">
        <v>36.659999999999997</v>
      </c>
      <c r="G96" s="21">
        <f t="shared" si="9"/>
        <v>48.2</v>
      </c>
      <c r="H96" s="57">
        <f>TRUNC(E96*G96,2)</f>
        <v>3427.5</v>
      </c>
      <c r="I96" s="22">
        <f t="shared" si="12"/>
        <v>2606.8925999999997</v>
      </c>
    </row>
    <row r="97" spans="1:11" ht="15">
      <c r="A97" s="54" t="s">
        <v>235</v>
      </c>
      <c r="B97" s="10"/>
      <c r="C97" s="11" t="s">
        <v>236</v>
      </c>
      <c r="D97" s="12" t="s">
        <v>16</v>
      </c>
      <c r="E97" s="13">
        <v>0</v>
      </c>
      <c r="F97" s="23">
        <v>0</v>
      </c>
      <c r="G97" s="14">
        <f t="shared" si="9"/>
        <v>0</v>
      </c>
      <c r="H97" s="55">
        <f>SUM(H98:H113)</f>
        <v>77100.399999999994</v>
      </c>
      <c r="I97" s="22">
        <f t="shared" si="12"/>
        <v>0</v>
      </c>
    </row>
    <row r="98" spans="1:11" ht="15">
      <c r="A98" s="58" t="s">
        <v>237</v>
      </c>
      <c r="B98" s="29"/>
      <c r="C98" s="30" t="s">
        <v>238</v>
      </c>
      <c r="D98" s="31" t="s">
        <v>16</v>
      </c>
      <c r="E98" s="32">
        <v>0</v>
      </c>
      <c r="F98" s="33">
        <v>0</v>
      </c>
      <c r="G98" s="33">
        <f t="shared" si="9"/>
        <v>0</v>
      </c>
      <c r="H98" s="59">
        <f t="shared" ref="H98:H113" si="13">TRUNC(E98*G98,2)</f>
        <v>0</v>
      </c>
      <c r="I98" s="22">
        <f t="shared" si="12"/>
        <v>0</v>
      </c>
    </row>
    <row r="99" spans="1:11" ht="60">
      <c r="A99" s="56" t="s">
        <v>239</v>
      </c>
      <c r="B99" s="17" t="s">
        <v>240</v>
      </c>
      <c r="C99" s="18" t="s">
        <v>241</v>
      </c>
      <c r="D99" s="19" t="s">
        <v>20</v>
      </c>
      <c r="E99" s="20">
        <v>2</v>
      </c>
      <c r="F99" s="21">
        <v>6001.98</v>
      </c>
      <c r="G99" s="21">
        <f t="shared" si="9"/>
        <v>7891.4</v>
      </c>
      <c r="H99" s="57">
        <f t="shared" si="13"/>
        <v>15782.8</v>
      </c>
      <c r="I99" s="22">
        <f t="shared" si="12"/>
        <v>12003.96</v>
      </c>
    </row>
    <row r="100" spans="1:11" ht="30">
      <c r="A100" s="56" t="s">
        <v>242</v>
      </c>
      <c r="B100" s="17" t="s">
        <v>295</v>
      </c>
      <c r="C100" s="18" t="s">
        <v>244</v>
      </c>
      <c r="D100" s="19" t="s">
        <v>20</v>
      </c>
      <c r="E100" s="20">
        <v>1</v>
      </c>
      <c r="F100" s="21">
        <v>216.98</v>
      </c>
      <c r="G100" s="21">
        <f t="shared" si="9"/>
        <v>285.27999999999997</v>
      </c>
      <c r="H100" s="57">
        <f t="shared" si="13"/>
        <v>285.27999999999997</v>
      </c>
      <c r="I100" s="22">
        <f t="shared" si="12"/>
        <v>216.98</v>
      </c>
    </row>
    <row r="101" spans="1:11" s="16" customFormat="1" ht="75">
      <c r="A101" s="56" t="s">
        <v>245</v>
      </c>
      <c r="B101" s="17" t="s">
        <v>246</v>
      </c>
      <c r="C101" s="18" t="s">
        <v>247</v>
      </c>
      <c r="D101" s="19" t="s">
        <v>248</v>
      </c>
      <c r="E101" s="20">
        <f>3+1</f>
        <v>4</v>
      </c>
      <c r="F101" s="21">
        <v>955.88</v>
      </c>
      <c r="G101" s="21">
        <f t="shared" si="9"/>
        <v>1256.79</v>
      </c>
      <c r="H101" s="57">
        <f t="shared" si="13"/>
        <v>5027.16</v>
      </c>
      <c r="I101" s="22">
        <f t="shared" si="12"/>
        <v>3823.52</v>
      </c>
      <c r="K101" s="2"/>
    </row>
    <row r="102" spans="1:11" s="16" customFormat="1" ht="45">
      <c r="A102" s="56" t="s">
        <v>249</v>
      </c>
      <c r="B102" s="17" t="s">
        <v>250</v>
      </c>
      <c r="C102" s="18" t="s">
        <v>251</v>
      </c>
      <c r="D102" s="19" t="s">
        <v>248</v>
      </c>
      <c r="E102" s="20">
        <v>1</v>
      </c>
      <c r="F102" s="21">
        <v>948.62</v>
      </c>
      <c r="G102" s="21">
        <f t="shared" si="9"/>
        <v>1247.24</v>
      </c>
      <c r="H102" s="57">
        <f t="shared" si="13"/>
        <v>1247.24</v>
      </c>
      <c r="I102" s="22">
        <f t="shared" si="12"/>
        <v>948.62</v>
      </c>
      <c r="K102" s="2"/>
    </row>
    <row r="103" spans="1:11" ht="45">
      <c r="A103" s="56" t="s">
        <v>252</v>
      </c>
      <c r="B103" s="17" t="s">
        <v>253</v>
      </c>
      <c r="C103" s="18" t="s">
        <v>254</v>
      </c>
      <c r="D103" s="19" t="s">
        <v>255</v>
      </c>
      <c r="E103" s="20">
        <v>1</v>
      </c>
      <c r="F103" s="21">
        <v>900.8</v>
      </c>
      <c r="G103" s="21">
        <f t="shared" si="9"/>
        <v>1184.3699999999999</v>
      </c>
      <c r="H103" s="57">
        <f t="shared" si="13"/>
        <v>1184.3699999999999</v>
      </c>
      <c r="I103" s="22">
        <f t="shared" si="12"/>
        <v>900.8</v>
      </c>
    </row>
    <row r="104" spans="1:11" ht="15">
      <c r="A104" s="208" t="s">
        <v>256</v>
      </c>
      <c r="B104" s="209" t="s">
        <v>257</v>
      </c>
      <c r="C104" s="210" t="s">
        <v>258</v>
      </c>
      <c r="D104" s="211" t="s">
        <v>20</v>
      </c>
      <c r="E104" s="214" t="s">
        <v>977</v>
      </c>
      <c r="F104" s="212">
        <v>0</v>
      </c>
      <c r="G104" s="212">
        <f t="shared" si="9"/>
        <v>0</v>
      </c>
      <c r="H104" s="213">
        <f t="shared" si="13"/>
        <v>0</v>
      </c>
      <c r="I104" s="22">
        <f t="shared" si="12"/>
        <v>0</v>
      </c>
    </row>
    <row r="105" spans="1:11" ht="30">
      <c r="A105" s="56" t="s">
        <v>259</v>
      </c>
      <c r="B105" s="17" t="s">
        <v>260</v>
      </c>
      <c r="C105" s="18" t="s">
        <v>261</v>
      </c>
      <c r="D105" s="19" t="s">
        <v>20</v>
      </c>
      <c r="E105" s="20">
        <v>1</v>
      </c>
      <c r="F105" s="21">
        <v>1834.25</v>
      </c>
      <c r="G105" s="21">
        <f t="shared" si="9"/>
        <v>2411.67</v>
      </c>
      <c r="H105" s="57">
        <f t="shared" si="13"/>
        <v>2411.67</v>
      </c>
      <c r="I105" s="22">
        <f t="shared" si="12"/>
        <v>1834.25</v>
      </c>
    </row>
    <row r="106" spans="1:11" ht="45">
      <c r="A106" s="56" t="s">
        <v>262</v>
      </c>
      <c r="B106" s="17" t="s">
        <v>263</v>
      </c>
      <c r="C106" s="18" t="s">
        <v>264</v>
      </c>
      <c r="D106" s="19" t="s">
        <v>20</v>
      </c>
      <c r="E106" s="20">
        <v>3</v>
      </c>
      <c r="F106" s="21">
        <v>201.43</v>
      </c>
      <c r="G106" s="21">
        <f t="shared" si="9"/>
        <v>264.83999999999997</v>
      </c>
      <c r="H106" s="57">
        <f t="shared" si="13"/>
        <v>794.52</v>
      </c>
      <c r="I106" s="22">
        <f t="shared" si="12"/>
        <v>604.29</v>
      </c>
    </row>
    <row r="107" spans="1:11" ht="15">
      <c r="A107" s="58" t="s">
        <v>265</v>
      </c>
      <c r="B107" s="29"/>
      <c r="C107" s="30" t="s">
        <v>266</v>
      </c>
      <c r="D107" s="31" t="s">
        <v>16</v>
      </c>
      <c r="E107" s="32">
        <v>0</v>
      </c>
      <c r="F107" s="33">
        <v>0</v>
      </c>
      <c r="G107" s="33">
        <f t="shared" si="9"/>
        <v>0</v>
      </c>
      <c r="H107" s="59">
        <f t="shared" si="13"/>
        <v>0</v>
      </c>
      <c r="I107" s="22">
        <f t="shared" si="12"/>
        <v>0</v>
      </c>
    </row>
    <row r="108" spans="1:11" ht="60">
      <c r="A108" s="56" t="s">
        <v>267</v>
      </c>
      <c r="B108" s="17">
        <v>94569</v>
      </c>
      <c r="C108" s="18" t="s">
        <v>268</v>
      </c>
      <c r="D108" s="19" t="s">
        <v>42</v>
      </c>
      <c r="E108" s="20">
        <v>16.760000000000002</v>
      </c>
      <c r="F108" s="21">
        <v>692.1</v>
      </c>
      <c r="G108" s="21">
        <f t="shared" si="9"/>
        <v>909.97</v>
      </c>
      <c r="H108" s="57">
        <f t="shared" si="13"/>
        <v>15251.09</v>
      </c>
      <c r="I108" s="22">
        <f t="shared" si="12"/>
        <v>11599.596000000001</v>
      </c>
    </row>
    <row r="109" spans="1:11" s="16" customFormat="1" ht="45">
      <c r="A109" s="56" t="s">
        <v>269</v>
      </c>
      <c r="B109" s="17">
        <v>102162</v>
      </c>
      <c r="C109" s="18" t="s">
        <v>270</v>
      </c>
      <c r="D109" s="19" t="s">
        <v>49</v>
      </c>
      <c r="E109" s="20">
        <v>0.56000000000000005</v>
      </c>
      <c r="F109" s="21">
        <v>258.02</v>
      </c>
      <c r="G109" s="21">
        <f t="shared" si="9"/>
        <v>339.24</v>
      </c>
      <c r="H109" s="57">
        <f t="shared" si="13"/>
        <v>189.97</v>
      </c>
      <c r="I109" s="22">
        <f t="shared" si="12"/>
        <v>144.49119999999999</v>
      </c>
      <c r="K109" s="2"/>
    </row>
    <row r="110" spans="1:11" s="16" customFormat="1" ht="30">
      <c r="A110" s="56" t="s">
        <v>271</v>
      </c>
      <c r="B110" s="17" t="s">
        <v>272</v>
      </c>
      <c r="C110" s="18" t="s">
        <v>273</v>
      </c>
      <c r="D110" s="19" t="s">
        <v>42</v>
      </c>
      <c r="E110" s="20">
        <v>3.06</v>
      </c>
      <c r="F110" s="21">
        <v>141.65</v>
      </c>
      <c r="G110" s="21">
        <f t="shared" si="9"/>
        <v>186.24</v>
      </c>
      <c r="H110" s="57">
        <f t="shared" si="13"/>
        <v>569.89</v>
      </c>
      <c r="I110" s="22">
        <f t="shared" si="12"/>
        <v>433.44900000000001</v>
      </c>
      <c r="K110" s="2"/>
    </row>
    <row r="111" spans="1:11" ht="15">
      <c r="A111" s="58" t="s">
        <v>274</v>
      </c>
      <c r="B111" s="29"/>
      <c r="C111" s="30" t="s">
        <v>275</v>
      </c>
      <c r="D111" s="31" t="s">
        <v>16</v>
      </c>
      <c r="E111" s="32">
        <v>0</v>
      </c>
      <c r="F111" s="33">
        <v>0</v>
      </c>
      <c r="G111" s="33">
        <f t="shared" si="9"/>
        <v>0</v>
      </c>
      <c r="H111" s="59">
        <f t="shared" si="13"/>
        <v>0</v>
      </c>
      <c r="I111" s="22"/>
    </row>
    <row r="112" spans="1:11" ht="30">
      <c r="A112" s="56" t="s">
        <v>276</v>
      </c>
      <c r="B112" s="17" t="s">
        <v>277</v>
      </c>
      <c r="C112" s="18" t="s">
        <v>278</v>
      </c>
      <c r="D112" s="19" t="s">
        <v>20</v>
      </c>
      <c r="E112" s="20">
        <v>1</v>
      </c>
      <c r="F112" s="21">
        <v>676.57</v>
      </c>
      <c r="G112" s="21">
        <f t="shared" si="9"/>
        <v>889.55</v>
      </c>
      <c r="H112" s="57">
        <f t="shared" si="13"/>
        <v>889.55</v>
      </c>
      <c r="I112" s="22">
        <f>E112*F112</f>
        <v>676.57</v>
      </c>
    </row>
    <row r="113" spans="1:11" ht="30">
      <c r="A113" s="56" t="s">
        <v>279</v>
      </c>
      <c r="B113" s="17" t="s">
        <v>280</v>
      </c>
      <c r="C113" s="18" t="s">
        <v>281</v>
      </c>
      <c r="D113" s="19" t="s">
        <v>20</v>
      </c>
      <c r="E113" s="20">
        <v>1</v>
      </c>
      <c r="F113" s="21">
        <v>25453.96</v>
      </c>
      <c r="G113" s="21">
        <f t="shared" si="9"/>
        <v>33466.86</v>
      </c>
      <c r="H113" s="57">
        <f t="shared" si="13"/>
        <v>33466.86</v>
      </c>
      <c r="I113" s="22">
        <f>E113*F113</f>
        <v>25453.96</v>
      </c>
    </row>
    <row r="114" spans="1:11" ht="15">
      <c r="A114" s="54" t="s">
        <v>282</v>
      </c>
      <c r="B114" s="10"/>
      <c r="C114" s="11" t="s">
        <v>283</v>
      </c>
      <c r="D114" s="12" t="s">
        <v>16</v>
      </c>
      <c r="E114" s="13">
        <v>0</v>
      </c>
      <c r="F114" s="23">
        <v>0</v>
      </c>
      <c r="G114" s="14">
        <f t="shared" si="9"/>
        <v>0</v>
      </c>
      <c r="H114" s="55">
        <f>SUM(H115:H121)</f>
        <v>37356.53</v>
      </c>
      <c r="I114" s="22"/>
    </row>
    <row r="115" spans="1:11" ht="15">
      <c r="A115" s="56" t="s">
        <v>284</v>
      </c>
      <c r="B115" s="17" t="s">
        <v>285</v>
      </c>
      <c r="C115" s="18" t="s">
        <v>286</v>
      </c>
      <c r="D115" s="19" t="s">
        <v>49</v>
      </c>
      <c r="E115" s="20">
        <v>20.85</v>
      </c>
      <c r="F115" s="21">
        <v>85</v>
      </c>
      <c r="G115" s="21">
        <f t="shared" si="9"/>
        <v>111.75</v>
      </c>
      <c r="H115" s="57">
        <f t="shared" ref="H115:H121" si="14">TRUNC(E115*G115,2)</f>
        <v>2329.98</v>
      </c>
      <c r="I115" s="22">
        <f t="shared" ref="I115:I121" si="15">E115*F115</f>
        <v>1772.2500000000002</v>
      </c>
    </row>
    <row r="116" spans="1:11" ht="30">
      <c r="A116" s="56" t="s">
        <v>287</v>
      </c>
      <c r="B116" s="17">
        <v>100710</v>
      </c>
      <c r="C116" s="18" t="s">
        <v>288</v>
      </c>
      <c r="D116" s="19" t="s">
        <v>248</v>
      </c>
      <c r="E116" s="20">
        <v>8</v>
      </c>
      <c r="F116" s="21">
        <v>109.89</v>
      </c>
      <c r="G116" s="21">
        <f t="shared" si="9"/>
        <v>144.47999999999999</v>
      </c>
      <c r="H116" s="57">
        <f t="shared" si="14"/>
        <v>1155.8399999999999</v>
      </c>
      <c r="I116" s="22">
        <f t="shared" si="15"/>
        <v>879.12</v>
      </c>
    </row>
    <row r="117" spans="1:11" ht="30">
      <c r="A117" s="56" t="s">
        <v>289</v>
      </c>
      <c r="B117" s="17" t="s">
        <v>290</v>
      </c>
      <c r="C117" s="18" t="s">
        <v>291</v>
      </c>
      <c r="D117" s="19" t="s">
        <v>248</v>
      </c>
      <c r="E117" s="20">
        <v>1</v>
      </c>
      <c r="F117" s="21">
        <v>122.52</v>
      </c>
      <c r="G117" s="21">
        <f t="shared" si="9"/>
        <v>161.08000000000001</v>
      </c>
      <c r="H117" s="57">
        <f t="shared" si="14"/>
        <v>161.08000000000001</v>
      </c>
      <c r="I117" s="22">
        <f t="shared" si="15"/>
        <v>122.52</v>
      </c>
    </row>
    <row r="118" spans="1:11" ht="30">
      <c r="A118" s="56" t="s">
        <v>292</v>
      </c>
      <c r="B118" s="17">
        <v>102180</v>
      </c>
      <c r="C118" s="18" t="s">
        <v>293</v>
      </c>
      <c r="D118" s="19" t="s">
        <v>49</v>
      </c>
      <c r="E118" s="20">
        <v>22.57</v>
      </c>
      <c r="F118" s="21">
        <v>377.54</v>
      </c>
      <c r="G118" s="21">
        <f t="shared" si="9"/>
        <v>496.38</v>
      </c>
      <c r="H118" s="57">
        <f t="shared" si="14"/>
        <v>11203.29</v>
      </c>
      <c r="I118" s="22">
        <f t="shared" si="15"/>
        <v>8521.0778000000009</v>
      </c>
    </row>
    <row r="119" spans="1:11" s="16" customFormat="1" ht="15">
      <c r="A119" s="56" t="s">
        <v>294</v>
      </c>
      <c r="B119" s="17" t="s">
        <v>492</v>
      </c>
      <c r="C119" s="18" t="s">
        <v>296</v>
      </c>
      <c r="D119" s="19" t="s">
        <v>49</v>
      </c>
      <c r="E119" s="20">
        <v>0.36</v>
      </c>
      <c r="F119" s="21">
        <v>269.74</v>
      </c>
      <c r="G119" s="21">
        <f t="shared" si="9"/>
        <v>354.65</v>
      </c>
      <c r="H119" s="57">
        <f t="shared" si="14"/>
        <v>127.67</v>
      </c>
      <c r="I119" s="22">
        <f t="shared" si="15"/>
        <v>97.106399999999994</v>
      </c>
      <c r="K119" s="2"/>
    </row>
    <row r="120" spans="1:11" s="16" customFormat="1" ht="30">
      <c r="A120" s="56" t="s">
        <v>297</v>
      </c>
      <c r="B120" s="17" t="s">
        <v>298</v>
      </c>
      <c r="C120" s="18" t="s">
        <v>299</v>
      </c>
      <c r="D120" s="19" t="s">
        <v>49</v>
      </c>
      <c r="E120" s="20">
        <v>12.42</v>
      </c>
      <c r="F120" s="21">
        <v>801.85</v>
      </c>
      <c r="G120" s="21">
        <f t="shared" si="9"/>
        <v>1054.27</v>
      </c>
      <c r="H120" s="57">
        <f t="shared" si="14"/>
        <v>13094.03</v>
      </c>
      <c r="I120" s="22">
        <f t="shared" si="15"/>
        <v>9958.9770000000008</v>
      </c>
      <c r="K120" s="2"/>
    </row>
    <row r="121" spans="1:11" s="16" customFormat="1" ht="45">
      <c r="A121" s="56" t="s">
        <v>300</v>
      </c>
      <c r="B121" s="17" t="s">
        <v>301</v>
      </c>
      <c r="C121" s="18" t="s">
        <v>302</v>
      </c>
      <c r="D121" s="19" t="s">
        <v>248</v>
      </c>
      <c r="E121" s="20">
        <v>8</v>
      </c>
      <c r="F121" s="21">
        <v>882.71</v>
      </c>
      <c r="G121" s="21">
        <f t="shared" si="9"/>
        <v>1160.58</v>
      </c>
      <c r="H121" s="57">
        <f t="shared" si="14"/>
        <v>9284.64</v>
      </c>
      <c r="I121" s="22">
        <f t="shared" si="15"/>
        <v>7061.68</v>
      </c>
      <c r="K121" s="2"/>
    </row>
    <row r="122" spans="1:11" ht="15">
      <c r="A122" s="54" t="s">
        <v>303</v>
      </c>
      <c r="B122" s="10"/>
      <c r="C122" s="11" t="s">
        <v>304</v>
      </c>
      <c r="D122" s="12" t="s">
        <v>16</v>
      </c>
      <c r="E122" s="13">
        <v>0</v>
      </c>
      <c r="F122" s="23">
        <v>0</v>
      </c>
      <c r="G122" s="14">
        <f t="shared" si="9"/>
        <v>0</v>
      </c>
      <c r="H122" s="55">
        <f>SUM(H123:H140)</f>
        <v>101948.82</v>
      </c>
      <c r="I122" s="22"/>
    </row>
    <row r="123" spans="1:11" ht="15">
      <c r="A123" s="58" t="s">
        <v>305</v>
      </c>
      <c r="B123" s="29"/>
      <c r="C123" s="30" t="s">
        <v>306</v>
      </c>
      <c r="D123" s="31" t="s">
        <v>16</v>
      </c>
      <c r="E123" s="32">
        <v>0</v>
      </c>
      <c r="F123" s="33">
        <v>0</v>
      </c>
      <c r="G123" s="33">
        <f t="shared" si="9"/>
        <v>0</v>
      </c>
      <c r="H123" s="59">
        <f t="shared" ref="H123:H140" si="16">TRUNC(E123*G123,2)</f>
        <v>0</v>
      </c>
      <c r="I123" s="22"/>
    </row>
    <row r="124" spans="1:11" ht="30">
      <c r="A124" s="56" t="s">
        <v>307</v>
      </c>
      <c r="B124" s="17">
        <v>88485</v>
      </c>
      <c r="C124" s="18" t="s">
        <v>308</v>
      </c>
      <c r="D124" s="19" t="s">
        <v>49</v>
      </c>
      <c r="E124" s="20">
        <v>234.13</v>
      </c>
      <c r="F124" s="21">
        <v>3.94</v>
      </c>
      <c r="G124" s="21">
        <f t="shared" si="9"/>
        <v>5.18</v>
      </c>
      <c r="H124" s="57">
        <f t="shared" si="16"/>
        <v>1212.79</v>
      </c>
      <c r="I124" s="22">
        <f t="shared" ref="I124:I129" si="17">E124*F124</f>
        <v>922.47219999999993</v>
      </c>
    </row>
    <row r="125" spans="1:11" ht="45">
      <c r="A125" s="56" t="s">
        <v>309</v>
      </c>
      <c r="B125" s="17" t="s">
        <v>310</v>
      </c>
      <c r="C125" s="18" t="s">
        <v>311</v>
      </c>
      <c r="D125" s="19" t="s">
        <v>42</v>
      </c>
      <c r="E125" s="20">
        <v>234.13</v>
      </c>
      <c r="F125" s="21">
        <v>20.9</v>
      </c>
      <c r="G125" s="21">
        <f t="shared" si="9"/>
        <v>27.47</v>
      </c>
      <c r="H125" s="57">
        <f t="shared" si="16"/>
        <v>6431.55</v>
      </c>
      <c r="I125" s="22">
        <f t="shared" si="17"/>
        <v>4893.317</v>
      </c>
    </row>
    <row r="126" spans="1:11" ht="45">
      <c r="A126" s="56" t="s">
        <v>312</v>
      </c>
      <c r="B126" s="17" t="s">
        <v>313</v>
      </c>
      <c r="C126" s="18" t="s">
        <v>314</v>
      </c>
      <c r="D126" s="19" t="s">
        <v>42</v>
      </c>
      <c r="E126" s="20">
        <v>49.3</v>
      </c>
      <c r="F126" s="21">
        <v>28.28</v>
      </c>
      <c r="G126" s="21">
        <f t="shared" si="9"/>
        <v>37.18</v>
      </c>
      <c r="H126" s="57">
        <f t="shared" si="16"/>
        <v>1832.97</v>
      </c>
      <c r="I126" s="22">
        <f t="shared" si="17"/>
        <v>1394.204</v>
      </c>
    </row>
    <row r="127" spans="1:11" ht="45">
      <c r="A127" s="56" t="s">
        <v>315</v>
      </c>
      <c r="B127" s="17" t="s">
        <v>316</v>
      </c>
      <c r="C127" s="18" t="s">
        <v>317</v>
      </c>
      <c r="D127" s="19" t="s">
        <v>49</v>
      </c>
      <c r="E127" s="20">
        <v>2594.4699999999998</v>
      </c>
      <c r="F127" s="21">
        <v>14.1</v>
      </c>
      <c r="G127" s="21">
        <f t="shared" si="9"/>
        <v>18.53</v>
      </c>
      <c r="H127" s="57">
        <f t="shared" si="16"/>
        <v>48075.519999999997</v>
      </c>
      <c r="I127" s="22">
        <f t="shared" si="17"/>
        <v>36582.026999999995</v>
      </c>
    </row>
    <row r="128" spans="1:11" ht="45">
      <c r="A128" s="56" t="s">
        <v>318</v>
      </c>
      <c r="B128" s="17">
        <v>88488</v>
      </c>
      <c r="C128" s="18" t="s">
        <v>319</v>
      </c>
      <c r="D128" s="19" t="s">
        <v>49</v>
      </c>
      <c r="E128" s="20">
        <f>860.6+24.91</f>
        <v>885.51</v>
      </c>
      <c r="F128" s="21">
        <v>13.04</v>
      </c>
      <c r="G128" s="21">
        <f t="shared" si="9"/>
        <v>17.14</v>
      </c>
      <c r="H128" s="57">
        <f t="shared" si="16"/>
        <v>15177.64</v>
      </c>
      <c r="I128" s="22">
        <f t="shared" si="17"/>
        <v>11547.050399999998</v>
      </c>
    </row>
    <row r="129" spans="1:11" ht="15">
      <c r="A129" s="56" t="s">
        <v>320</v>
      </c>
      <c r="B129" s="17" t="s">
        <v>321</v>
      </c>
      <c r="C129" s="18" t="s">
        <v>322</v>
      </c>
      <c r="D129" s="19" t="s">
        <v>49</v>
      </c>
      <c r="E129" s="20">
        <f>23.11+589.36</f>
        <v>612.47</v>
      </c>
      <c r="F129" s="21">
        <v>16.7</v>
      </c>
      <c r="G129" s="21">
        <f t="shared" si="9"/>
        <v>21.95</v>
      </c>
      <c r="H129" s="57">
        <f t="shared" si="16"/>
        <v>13443.71</v>
      </c>
      <c r="I129" s="22">
        <f t="shared" si="17"/>
        <v>10228.249</v>
      </c>
    </row>
    <row r="130" spans="1:11" s="16" customFormat="1" ht="15">
      <c r="A130" s="58" t="s">
        <v>323</v>
      </c>
      <c r="B130" s="29"/>
      <c r="C130" s="30" t="s">
        <v>324</v>
      </c>
      <c r="D130" s="31" t="s">
        <v>16</v>
      </c>
      <c r="E130" s="32">
        <v>0</v>
      </c>
      <c r="F130" s="33">
        <v>0</v>
      </c>
      <c r="G130" s="33">
        <f t="shared" si="9"/>
        <v>0</v>
      </c>
      <c r="H130" s="59">
        <f t="shared" si="16"/>
        <v>0</v>
      </c>
      <c r="I130" s="22"/>
      <c r="K130" s="2"/>
    </row>
    <row r="131" spans="1:11" ht="30">
      <c r="A131" s="56" t="s">
        <v>325</v>
      </c>
      <c r="B131" s="17">
        <v>102193</v>
      </c>
      <c r="C131" s="18" t="s">
        <v>326</v>
      </c>
      <c r="D131" s="19" t="s">
        <v>49</v>
      </c>
      <c r="E131" s="20">
        <v>8.4</v>
      </c>
      <c r="F131" s="21">
        <v>1.94</v>
      </c>
      <c r="G131" s="21">
        <f t="shared" si="9"/>
        <v>2.5499999999999998</v>
      </c>
      <c r="H131" s="57">
        <f t="shared" si="16"/>
        <v>21.42</v>
      </c>
      <c r="I131" s="22">
        <f>E131*F131</f>
        <v>16.295999999999999</v>
      </c>
    </row>
    <row r="132" spans="1:11" ht="30">
      <c r="A132" s="56" t="s">
        <v>327</v>
      </c>
      <c r="B132" s="17">
        <v>102197</v>
      </c>
      <c r="C132" s="18" t="s">
        <v>328</v>
      </c>
      <c r="D132" s="19" t="s">
        <v>49</v>
      </c>
      <c r="E132" s="20">
        <v>8.4</v>
      </c>
      <c r="F132" s="21">
        <v>29.09</v>
      </c>
      <c r="G132" s="21">
        <f t="shared" si="9"/>
        <v>38.24</v>
      </c>
      <c r="H132" s="57">
        <f t="shared" si="16"/>
        <v>321.20999999999998</v>
      </c>
      <c r="I132" s="22">
        <f>E132*F132</f>
        <v>244.35600000000002</v>
      </c>
    </row>
    <row r="133" spans="1:11" ht="45">
      <c r="A133" s="56" t="s">
        <v>329</v>
      </c>
      <c r="B133" s="17">
        <v>102201</v>
      </c>
      <c r="C133" s="18" t="s">
        <v>330</v>
      </c>
      <c r="D133" s="19" t="s">
        <v>49</v>
      </c>
      <c r="E133" s="20">
        <v>8.4</v>
      </c>
      <c r="F133" s="21">
        <v>18.68</v>
      </c>
      <c r="G133" s="21">
        <f t="shared" si="9"/>
        <v>24.56</v>
      </c>
      <c r="H133" s="57">
        <f t="shared" si="16"/>
        <v>206.3</v>
      </c>
      <c r="I133" s="22">
        <f>E133*F133</f>
        <v>156.91200000000001</v>
      </c>
    </row>
    <row r="134" spans="1:11" ht="45">
      <c r="A134" s="56" t="s">
        <v>331</v>
      </c>
      <c r="B134" s="17">
        <v>102230</v>
      </c>
      <c r="C134" s="18" t="s">
        <v>332</v>
      </c>
      <c r="D134" s="19" t="s">
        <v>49</v>
      </c>
      <c r="E134" s="20">
        <v>162.12</v>
      </c>
      <c r="F134" s="21">
        <v>23.23</v>
      </c>
      <c r="G134" s="21">
        <f t="shared" si="9"/>
        <v>30.54</v>
      </c>
      <c r="H134" s="57">
        <f t="shared" si="16"/>
        <v>4951.1400000000003</v>
      </c>
      <c r="I134" s="22">
        <f>E134*F134</f>
        <v>3766.0476000000003</v>
      </c>
    </row>
    <row r="135" spans="1:11" ht="15">
      <c r="A135" s="58" t="s">
        <v>333</v>
      </c>
      <c r="B135" s="29"/>
      <c r="C135" s="30" t="s">
        <v>334</v>
      </c>
      <c r="D135" s="31" t="s">
        <v>16</v>
      </c>
      <c r="E135" s="32">
        <v>0</v>
      </c>
      <c r="F135" s="33">
        <v>0</v>
      </c>
      <c r="G135" s="33">
        <f t="shared" si="9"/>
        <v>0</v>
      </c>
      <c r="H135" s="59">
        <f t="shared" si="16"/>
        <v>0</v>
      </c>
      <c r="I135" s="22"/>
    </row>
    <row r="136" spans="1:11" ht="75">
      <c r="A136" s="56" t="s">
        <v>335</v>
      </c>
      <c r="B136" s="17">
        <v>100757</v>
      </c>
      <c r="C136" s="18" t="s">
        <v>336</v>
      </c>
      <c r="D136" s="19" t="s">
        <v>49</v>
      </c>
      <c r="E136" s="20">
        <v>116.48</v>
      </c>
      <c r="F136" s="21">
        <v>48.74</v>
      </c>
      <c r="G136" s="21">
        <f t="shared" si="9"/>
        <v>64.08</v>
      </c>
      <c r="H136" s="57">
        <f t="shared" si="16"/>
        <v>7464.03</v>
      </c>
      <c r="I136" s="22">
        <f>E136*F136</f>
        <v>5677.2352000000001</v>
      </c>
    </row>
    <row r="137" spans="1:11" s="16" customFormat="1" ht="15">
      <c r="A137" s="58" t="s">
        <v>337</v>
      </c>
      <c r="B137" s="29"/>
      <c r="C137" s="30" t="s">
        <v>338</v>
      </c>
      <c r="D137" s="31" t="s">
        <v>16</v>
      </c>
      <c r="E137" s="32">
        <v>0</v>
      </c>
      <c r="F137" s="33">
        <v>0</v>
      </c>
      <c r="G137" s="33">
        <f t="shared" si="9"/>
        <v>0</v>
      </c>
      <c r="H137" s="59">
        <f t="shared" si="16"/>
        <v>0</v>
      </c>
      <c r="I137" s="22">
        <f>E137*F137</f>
        <v>0</v>
      </c>
      <c r="K137" s="2"/>
    </row>
    <row r="138" spans="1:11" ht="30">
      <c r="A138" s="56" t="s">
        <v>339</v>
      </c>
      <c r="B138" s="17" t="s">
        <v>340</v>
      </c>
      <c r="C138" s="18" t="s">
        <v>341</v>
      </c>
      <c r="D138" s="19" t="s">
        <v>342</v>
      </c>
      <c r="E138" s="20">
        <v>42</v>
      </c>
      <c r="F138" s="21">
        <v>11</v>
      </c>
      <c r="G138" s="21">
        <f t="shared" si="9"/>
        <v>14.46</v>
      </c>
      <c r="H138" s="57">
        <f t="shared" si="16"/>
        <v>607.32000000000005</v>
      </c>
      <c r="I138" s="22">
        <f>E138*F138</f>
        <v>462</v>
      </c>
    </row>
    <row r="139" spans="1:11" ht="30">
      <c r="A139" s="56" t="s">
        <v>343</v>
      </c>
      <c r="B139" s="17">
        <v>100717</v>
      </c>
      <c r="C139" s="18" t="s">
        <v>344</v>
      </c>
      <c r="D139" s="19" t="s">
        <v>49</v>
      </c>
      <c r="E139" s="20">
        <v>30.07</v>
      </c>
      <c r="F139" s="21">
        <v>8.93</v>
      </c>
      <c r="G139" s="21">
        <f t="shared" si="9"/>
        <v>11.74</v>
      </c>
      <c r="H139" s="57">
        <f t="shared" si="16"/>
        <v>353.02</v>
      </c>
      <c r="I139" s="22">
        <f>E139*F139</f>
        <v>268.52510000000001</v>
      </c>
    </row>
    <row r="140" spans="1:11" ht="75">
      <c r="A140" s="56" t="s">
        <v>345</v>
      </c>
      <c r="B140" s="17">
        <v>100758</v>
      </c>
      <c r="C140" s="18" t="s">
        <v>346</v>
      </c>
      <c r="D140" s="19" t="s">
        <v>49</v>
      </c>
      <c r="E140" s="20">
        <v>30.07</v>
      </c>
      <c r="F140" s="21">
        <v>46.8</v>
      </c>
      <c r="G140" s="21">
        <f t="shared" si="9"/>
        <v>61.53</v>
      </c>
      <c r="H140" s="57">
        <f t="shared" si="16"/>
        <v>1850.2</v>
      </c>
      <c r="I140" s="22">
        <f>E140*F140</f>
        <v>1407.2759999999998</v>
      </c>
    </row>
    <row r="141" spans="1:11" s="16" customFormat="1" ht="15">
      <c r="A141" s="54" t="s">
        <v>347</v>
      </c>
      <c r="B141" s="10"/>
      <c r="C141" s="11" t="s">
        <v>348</v>
      </c>
      <c r="D141" s="12" t="s">
        <v>16</v>
      </c>
      <c r="E141" s="13">
        <v>0</v>
      </c>
      <c r="F141" s="23">
        <v>0</v>
      </c>
      <c r="G141" s="14">
        <f t="shared" si="9"/>
        <v>0</v>
      </c>
      <c r="H141" s="55">
        <f>SUM(H142:H170)</f>
        <v>28257.88</v>
      </c>
      <c r="I141" s="22"/>
      <c r="K141" s="2"/>
    </row>
    <row r="142" spans="1:11" ht="15">
      <c r="A142" s="58" t="s">
        <v>349</v>
      </c>
      <c r="B142" s="29"/>
      <c r="C142" s="30" t="s">
        <v>350</v>
      </c>
      <c r="D142" s="31" t="s">
        <v>16</v>
      </c>
      <c r="E142" s="32">
        <v>0</v>
      </c>
      <c r="F142" s="33">
        <v>0</v>
      </c>
      <c r="G142" s="33">
        <f t="shared" si="9"/>
        <v>0</v>
      </c>
      <c r="H142" s="59">
        <f t="shared" ref="H142:H170" si="18">TRUNC(E142*G142,2)</f>
        <v>0</v>
      </c>
      <c r="I142" s="22"/>
    </row>
    <row r="143" spans="1:11" ht="120">
      <c r="A143" s="56" t="s">
        <v>351</v>
      </c>
      <c r="B143" s="17" t="s">
        <v>352</v>
      </c>
      <c r="C143" s="18" t="s">
        <v>353</v>
      </c>
      <c r="D143" s="19" t="s">
        <v>24</v>
      </c>
      <c r="E143" s="20">
        <f>14+8</f>
        <v>22</v>
      </c>
      <c r="F143" s="21">
        <v>143.08000000000001</v>
      </c>
      <c r="G143" s="21">
        <f t="shared" ref="G143:G206" si="19">TRUNC(F143*(1+$H$9),2)</f>
        <v>188.12</v>
      </c>
      <c r="H143" s="57">
        <f t="shared" si="18"/>
        <v>4138.6400000000003</v>
      </c>
      <c r="I143" s="22">
        <f t="shared" ref="I143:I152" si="20">E143*F143</f>
        <v>3147.76</v>
      </c>
    </row>
    <row r="144" spans="1:11" ht="90">
      <c r="A144" s="56" t="s">
        <v>354</v>
      </c>
      <c r="B144" s="17" t="s">
        <v>355</v>
      </c>
      <c r="C144" s="18" t="s">
        <v>356</v>
      </c>
      <c r="D144" s="19" t="s">
        <v>24</v>
      </c>
      <c r="E144" s="20">
        <f>4+6</f>
        <v>10</v>
      </c>
      <c r="F144" s="21">
        <v>283.7</v>
      </c>
      <c r="G144" s="21">
        <f t="shared" si="19"/>
        <v>373</v>
      </c>
      <c r="H144" s="57">
        <f t="shared" si="18"/>
        <v>3730</v>
      </c>
      <c r="I144" s="22">
        <f t="shared" si="20"/>
        <v>2837</v>
      </c>
    </row>
    <row r="145" spans="1:11" ht="60">
      <c r="A145" s="56" t="s">
        <v>357</v>
      </c>
      <c r="B145" s="17">
        <v>89713</v>
      </c>
      <c r="C145" s="18" t="s">
        <v>358</v>
      </c>
      <c r="D145" s="19" t="s">
        <v>185</v>
      </c>
      <c r="E145" s="20">
        <v>10</v>
      </c>
      <c r="F145" s="21">
        <v>32.130000000000003</v>
      </c>
      <c r="G145" s="21">
        <f t="shared" si="19"/>
        <v>42.24</v>
      </c>
      <c r="H145" s="57">
        <f t="shared" si="18"/>
        <v>422.4</v>
      </c>
      <c r="I145" s="22">
        <f t="shared" si="20"/>
        <v>321.3</v>
      </c>
    </row>
    <row r="146" spans="1:11" ht="105">
      <c r="A146" s="56" t="s">
        <v>359</v>
      </c>
      <c r="B146" s="17" t="s">
        <v>360</v>
      </c>
      <c r="C146" s="18" t="s">
        <v>361</v>
      </c>
      <c r="D146" s="19" t="s">
        <v>24</v>
      </c>
      <c r="E146" s="20">
        <v>2</v>
      </c>
      <c r="F146" s="21">
        <v>200.6</v>
      </c>
      <c r="G146" s="21">
        <f t="shared" si="19"/>
        <v>263.74</v>
      </c>
      <c r="H146" s="57">
        <f t="shared" si="18"/>
        <v>527.48</v>
      </c>
      <c r="I146" s="22">
        <f t="shared" si="20"/>
        <v>401.2</v>
      </c>
    </row>
    <row r="147" spans="1:11" ht="60">
      <c r="A147" s="56" t="s">
        <v>362</v>
      </c>
      <c r="B147" s="17">
        <v>89714</v>
      </c>
      <c r="C147" s="18" t="s">
        <v>363</v>
      </c>
      <c r="D147" s="19" t="s">
        <v>185</v>
      </c>
      <c r="E147" s="20">
        <v>18</v>
      </c>
      <c r="F147" s="21">
        <v>35.700000000000003</v>
      </c>
      <c r="G147" s="21">
        <f t="shared" si="19"/>
        <v>46.93</v>
      </c>
      <c r="H147" s="57">
        <f t="shared" si="18"/>
        <v>844.74</v>
      </c>
      <c r="I147" s="22">
        <f t="shared" si="20"/>
        <v>642.6</v>
      </c>
    </row>
    <row r="148" spans="1:11" ht="45">
      <c r="A148" s="56" t="s">
        <v>364</v>
      </c>
      <c r="B148" s="17">
        <v>93358</v>
      </c>
      <c r="C148" s="18" t="s">
        <v>365</v>
      </c>
      <c r="D148" s="19" t="s">
        <v>59</v>
      </c>
      <c r="E148" s="20">
        <v>2.16</v>
      </c>
      <c r="F148" s="21">
        <v>70.290000000000006</v>
      </c>
      <c r="G148" s="21">
        <f t="shared" si="19"/>
        <v>92.41</v>
      </c>
      <c r="H148" s="57">
        <f t="shared" si="18"/>
        <v>199.6</v>
      </c>
      <c r="I148" s="22">
        <f t="shared" si="20"/>
        <v>151.82640000000004</v>
      </c>
    </row>
    <row r="149" spans="1:11" ht="30">
      <c r="A149" s="56" t="s">
        <v>366</v>
      </c>
      <c r="B149" s="17">
        <v>93382</v>
      </c>
      <c r="C149" s="18" t="s">
        <v>134</v>
      </c>
      <c r="D149" s="19" t="s">
        <v>59</v>
      </c>
      <c r="E149" s="20">
        <v>2.16</v>
      </c>
      <c r="F149" s="21">
        <v>27.44</v>
      </c>
      <c r="G149" s="21">
        <f t="shared" si="19"/>
        <v>36.07</v>
      </c>
      <c r="H149" s="57">
        <f t="shared" si="18"/>
        <v>77.91</v>
      </c>
      <c r="I149" s="22">
        <f t="shared" si="20"/>
        <v>59.270400000000009</v>
      </c>
    </row>
    <row r="150" spans="1:11" s="16" customFormat="1" ht="90">
      <c r="A150" s="56" t="s">
        <v>367</v>
      </c>
      <c r="B150" s="17" t="s">
        <v>368</v>
      </c>
      <c r="C150" s="18" t="s">
        <v>369</v>
      </c>
      <c r="D150" s="19" t="s">
        <v>24</v>
      </c>
      <c r="E150" s="20">
        <v>2</v>
      </c>
      <c r="F150" s="21">
        <v>330.82</v>
      </c>
      <c r="G150" s="21">
        <f t="shared" si="19"/>
        <v>434.96</v>
      </c>
      <c r="H150" s="57">
        <f t="shared" si="18"/>
        <v>869.92</v>
      </c>
      <c r="I150" s="22">
        <f t="shared" si="20"/>
        <v>661.64</v>
      </c>
      <c r="K150" s="2"/>
    </row>
    <row r="151" spans="1:11" ht="30">
      <c r="A151" s="56" t="s">
        <v>370</v>
      </c>
      <c r="B151" s="17" t="s">
        <v>371</v>
      </c>
      <c r="C151" s="18" t="s">
        <v>372</v>
      </c>
      <c r="D151" s="19" t="s">
        <v>24</v>
      </c>
      <c r="E151" s="20">
        <f>10+2</f>
        <v>12</v>
      </c>
      <c r="F151" s="21">
        <v>65.28</v>
      </c>
      <c r="G151" s="21">
        <f t="shared" si="19"/>
        <v>85.83</v>
      </c>
      <c r="H151" s="57">
        <f t="shared" si="18"/>
        <v>1029.96</v>
      </c>
      <c r="I151" s="22">
        <f t="shared" si="20"/>
        <v>783.36</v>
      </c>
    </row>
    <row r="152" spans="1:11" ht="45">
      <c r="A152" s="56" t="s">
        <v>373</v>
      </c>
      <c r="B152" s="17">
        <v>89798</v>
      </c>
      <c r="C152" s="18" t="s">
        <v>374</v>
      </c>
      <c r="D152" s="19" t="s">
        <v>185</v>
      </c>
      <c r="E152" s="20">
        <v>4</v>
      </c>
      <c r="F152" s="21">
        <v>13.84</v>
      </c>
      <c r="G152" s="21">
        <f t="shared" si="19"/>
        <v>18.190000000000001</v>
      </c>
      <c r="H152" s="57">
        <f t="shared" si="18"/>
        <v>72.760000000000005</v>
      </c>
      <c r="I152" s="22">
        <f t="shared" si="20"/>
        <v>55.36</v>
      </c>
    </row>
    <row r="153" spans="1:11" ht="15">
      <c r="A153" s="58" t="s">
        <v>375</v>
      </c>
      <c r="B153" s="29"/>
      <c r="C153" s="30" t="s">
        <v>376</v>
      </c>
      <c r="D153" s="31" t="s">
        <v>16</v>
      </c>
      <c r="E153" s="32">
        <v>0</v>
      </c>
      <c r="F153" s="33">
        <v>0</v>
      </c>
      <c r="G153" s="33">
        <f t="shared" si="19"/>
        <v>0</v>
      </c>
      <c r="H153" s="59">
        <f t="shared" si="18"/>
        <v>0</v>
      </c>
      <c r="I153" s="22"/>
    </row>
    <row r="154" spans="1:11" ht="105">
      <c r="A154" s="56" t="s">
        <v>377</v>
      </c>
      <c r="B154" s="17" t="s">
        <v>378</v>
      </c>
      <c r="C154" s="18" t="s">
        <v>379</v>
      </c>
      <c r="D154" s="19" t="s">
        <v>24</v>
      </c>
      <c r="E154" s="20">
        <f>14+12</f>
        <v>26</v>
      </c>
      <c r="F154" s="21">
        <v>124.25</v>
      </c>
      <c r="G154" s="21">
        <f t="shared" si="19"/>
        <v>163.36000000000001</v>
      </c>
      <c r="H154" s="57">
        <f t="shared" si="18"/>
        <v>4247.3599999999997</v>
      </c>
      <c r="I154" s="22">
        <f t="shared" ref="I154:I161" si="21">E154*F154</f>
        <v>3230.5</v>
      </c>
    </row>
    <row r="155" spans="1:11" ht="60">
      <c r="A155" s="56" t="s">
        <v>380</v>
      </c>
      <c r="B155" s="17" t="s">
        <v>381</v>
      </c>
      <c r="C155" s="18" t="s">
        <v>382</v>
      </c>
      <c r="D155" s="19" t="s">
        <v>24</v>
      </c>
      <c r="E155" s="20">
        <v>4</v>
      </c>
      <c r="F155" s="21">
        <v>190.7</v>
      </c>
      <c r="G155" s="21">
        <f t="shared" si="19"/>
        <v>250.73</v>
      </c>
      <c r="H155" s="57">
        <f t="shared" si="18"/>
        <v>1002.92</v>
      </c>
      <c r="I155" s="22">
        <f t="shared" si="21"/>
        <v>762.8</v>
      </c>
    </row>
    <row r="156" spans="1:11" ht="60">
      <c r="A156" s="56" t="s">
        <v>383</v>
      </c>
      <c r="B156" s="17" t="s">
        <v>384</v>
      </c>
      <c r="C156" s="18" t="s">
        <v>385</v>
      </c>
      <c r="D156" s="19" t="s">
        <v>24</v>
      </c>
      <c r="E156" s="20">
        <f>5+2</f>
        <v>7</v>
      </c>
      <c r="F156" s="21">
        <v>82.21</v>
      </c>
      <c r="G156" s="21">
        <f t="shared" si="19"/>
        <v>108.08</v>
      </c>
      <c r="H156" s="57">
        <f t="shared" si="18"/>
        <v>756.56</v>
      </c>
      <c r="I156" s="22">
        <f t="shared" si="21"/>
        <v>575.46999999999991</v>
      </c>
    </row>
    <row r="157" spans="1:11" ht="60">
      <c r="A157" s="56" t="s">
        <v>386</v>
      </c>
      <c r="B157" s="17" t="s">
        <v>387</v>
      </c>
      <c r="C157" s="18" t="s">
        <v>388</v>
      </c>
      <c r="D157" s="19" t="s">
        <v>24</v>
      </c>
      <c r="E157" s="20">
        <v>2</v>
      </c>
      <c r="F157" s="21">
        <v>94.13</v>
      </c>
      <c r="G157" s="21">
        <f t="shared" si="19"/>
        <v>123.76</v>
      </c>
      <c r="H157" s="57">
        <f t="shared" si="18"/>
        <v>247.52</v>
      </c>
      <c r="I157" s="22">
        <f t="shared" si="21"/>
        <v>188.26</v>
      </c>
    </row>
    <row r="158" spans="1:11" ht="45">
      <c r="A158" s="56" t="s">
        <v>389</v>
      </c>
      <c r="B158" s="17" t="s">
        <v>390</v>
      </c>
      <c r="C158" s="18" t="s">
        <v>391</v>
      </c>
      <c r="D158" s="19" t="s">
        <v>38</v>
      </c>
      <c r="E158" s="20">
        <v>12</v>
      </c>
      <c r="F158" s="21">
        <v>42.89</v>
      </c>
      <c r="G158" s="21">
        <f t="shared" si="19"/>
        <v>56.39</v>
      </c>
      <c r="H158" s="57">
        <f t="shared" si="18"/>
        <v>676.68</v>
      </c>
      <c r="I158" s="22">
        <f t="shared" si="21"/>
        <v>514.68000000000006</v>
      </c>
    </row>
    <row r="159" spans="1:11" ht="30">
      <c r="A159" s="56" t="s">
        <v>392</v>
      </c>
      <c r="B159" s="17" t="s">
        <v>393</v>
      </c>
      <c r="C159" s="18" t="s">
        <v>394</v>
      </c>
      <c r="D159" s="19" t="s">
        <v>185</v>
      </c>
      <c r="E159" s="20">
        <v>12</v>
      </c>
      <c r="F159" s="21">
        <v>7.57</v>
      </c>
      <c r="G159" s="21">
        <f t="shared" si="19"/>
        <v>9.9499999999999993</v>
      </c>
      <c r="H159" s="57">
        <f t="shared" si="18"/>
        <v>119.4</v>
      </c>
      <c r="I159" s="22">
        <f t="shared" si="21"/>
        <v>90.84</v>
      </c>
      <c r="J159" s="24"/>
    </row>
    <row r="160" spans="1:11" ht="45">
      <c r="A160" s="56" t="s">
        <v>395</v>
      </c>
      <c r="B160" s="17">
        <v>99635</v>
      </c>
      <c r="C160" s="18" t="s">
        <v>396</v>
      </c>
      <c r="D160" s="19" t="s">
        <v>248</v>
      </c>
      <c r="E160" s="20">
        <v>5</v>
      </c>
      <c r="F160" s="21">
        <v>333.15</v>
      </c>
      <c r="G160" s="21">
        <f t="shared" si="19"/>
        <v>438.02</v>
      </c>
      <c r="H160" s="57">
        <f t="shared" si="18"/>
        <v>2190.1</v>
      </c>
      <c r="I160" s="22">
        <f t="shared" si="21"/>
        <v>1665.75</v>
      </c>
    </row>
    <row r="161" spans="1:11" ht="75">
      <c r="A161" s="56" t="s">
        <v>397</v>
      </c>
      <c r="B161" s="17" t="s">
        <v>398</v>
      </c>
      <c r="C161" s="18" t="s">
        <v>399</v>
      </c>
      <c r="D161" s="19" t="s">
        <v>185</v>
      </c>
      <c r="E161" s="20">
        <v>20</v>
      </c>
      <c r="F161" s="21">
        <v>94.76</v>
      </c>
      <c r="G161" s="21">
        <f t="shared" si="19"/>
        <v>124.59</v>
      </c>
      <c r="H161" s="57">
        <f t="shared" si="18"/>
        <v>2491.8000000000002</v>
      </c>
      <c r="I161" s="22">
        <f t="shared" si="21"/>
        <v>1895.2</v>
      </c>
    </row>
    <row r="162" spans="1:11" ht="15">
      <c r="A162" s="58" t="s">
        <v>400</v>
      </c>
      <c r="B162" s="29"/>
      <c r="C162" s="30" t="s">
        <v>401</v>
      </c>
      <c r="D162" s="31" t="s">
        <v>16</v>
      </c>
      <c r="E162" s="32">
        <v>0</v>
      </c>
      <c r="F162" s="33">
        <v>0</v>
      </c>
      <c r="G162" s="33">
        <f t="shared" si="19"/>
        <v>0</v>
      </c>
      <c r="H162" s="59">
        <f t="shared" si="18"/>
        <v>0</v>
      </c>
      <c r="I162" s="22"/>
    </row>
    <row r="163" spans="1:11" ht="45">
      <c r="A163" s="56" t="s">
        <v>402</v>
      </c>
      <c r="B163" s="17">
        <v>89578</v>
      </c>
      <c r="C163" s="18" t="s">
        <v>403</v>
      </c>
      <c r="D163" s="19" t="s">
        <v>185</v>
      </c>
      <c r="E163" s="20">
        <v>18</v>
      </c>
      <c r="F163" s="21">
        <v>34.130000000000003</v>
      </c>
      <c r="G163" s="21">
        <f t="shared" si="19"/>
        <v>44.87</v>
      </c>
      <c r="H163" s="57">
        <f t="shared" si="18"/>
        <v>807.66</v>
      </c>
      <c r="I163" s="22">
        <f t="shared" ref="I163:I170" si="22">E163*F163</f>
        <v>614.34</v>
      </c>
    </row>
    <row r="164" spans="1:11" s="16" customFormat="1" ht="45">
      <c r="A164" s="56" t="s">
        <v>404</v>
      </c>
      <c r="B164" s="17">
        <v>104166</v>
      </c>
      <c r="C164" s="18" t="s">
        <v>405</v>
      </c>
      <c r="D164" s="19" t="s">
        <v>185</v>
      </c>
      <c r="E164" s="20">
        <v>12</v>
      </c>
      <c r="F164" s="21">
        <v>75.92</v>
      </c>
      <c r="G164" s="21">
        <f t="shared" si="19"/>
        <v>99.81</v>
      </c>
      <c r="H164" s="57">
        <f t="shared" si="18"/>
        <v>1197.72</v>
      </c>
      <c r="I164" s="22">
        <f t="shared" si="22"/>
        <v>911.04</v>
      </c>
      <c r="K164" s="2"/>
    </row>
    <row r="165" spans="1:11" ht="90">
      <c r="A165" s="56" t="s">
        <v>406</v>
      </c>
      <c r="B165" s="17" t="s">
        <v>407</v>
      </c>
      <c r="C165" s="18" t="s">
        <v>408</v>
      </c>
      <c r="D165" s="19" t="s">
        <v>24</v>
      </c>
      <c r="E165" s="20">
        <v>2</v>
      </c>
      <c r="F165" s="21">
        <v>797.42</v>
      </c>
      <c r="G165" s="21">
        <f t="shared" si="19"/>
        <v>1048.44</v>
      </c>
      <c r="H165" s="57">
        <f t="shared" si="18"/>
        <v>2096.88</v>
      </c>
      <c r="I165" s="22">
        <f t="shared" si="22"/>
        <v>1594.84</v>
      </c>
      <c r="J165" s="24"/>
    </row>
    <row r="166" spans="1:11" ht="75">
      <c r="A166" s="56" t="s">
        <v>409</v>
      </c>
      <c r="B166" s="17" t="s">
        <v>71</v>
      </c>
      <c r="C166" s="18" t="s">
        <v>72</v>
      </c>
      <c r="D166" s="19" t="s">
        <v>42</v>
      </c>
      <c r="E166" s="20">
        <v>10</v>
      </c>
      <c r="F166" s="21">
        <v>15.69</v>
      </c>
      <c r="G166" s="21">
        <f t="shared" si="19"/>
        <v>20.62</v>
      </c>
      <c r="H166" s="57">
        <f t="shared" si="18"/>
        <v>206.2</v>
      </c>
      <c r="I166" s="22">
        <f t="shared" si="22"/>
        <v>156.9</v>
      </c>
      <c r="J166" s="24"/>
    </row>
    <row r="167" spans="1:11" ht="45">
      <c r="A167" s="56" t="s">
        <v>410</v>
      </c>
      <c r="B167" s="17">
        <v>93358</v>
      </c>
      <c r="C167" s="18" t="s">
        <v>365</v>
      </c>
      <c r="D167" s="19" t="s">
        <v>59</v>
      </c>
      <c r="E167" s="20">
        <v>1.2</v>
      </c>
      <c r="F167" s="21">
        <v>70.290000000000006</v>
      </c>
      <c r="G167" s="21">
        <f t="shared" si="19"/>
        <v>92.41</v>
      </c>
      <c r="H167" s="57">
        <f t="shared" si="18"/>
        <v>110.89</v>
      </c>
      <c r="I167" s="22">
        <f t="shared" si="22"/>
        <v>84.347999999999999</v>
      </c>
      <c r="J167" s="24"/>
    </row>
    <row r="168" spans="1:11" ht="30">
      <c r="A168" s="56" t="s">
        <v>411</v>
      </c>
      <c r="B168" s="17">
        <v>93382</v>
      </c>
      <c r="C168" s="18" t="s">
        <v>134</v>
      </c>
      <c r="D168" s="19" t="s">
        <v>59</v>
      </c>
      <c r="E168" s="20">
        <v>1.2</v>
      </c>
      <c r="F168" s="21">
        <v>27.44</v>
      </c>
      <c r="G168" s="21">
        <f t="shared" si="19"/>
        <v>36.07</v>
      </c>
      <c r="H168" s="57">
        <f t="shared" si="18"/>
        <v>43.28</v>
      </c>
      <c r="I168" s="22">
        <f t="shared" si="22"/>
        <v>32.927999999999997</v>
      </c>
      <c r="J168" s="24"/>
    </row>
    <row r="169" spans="1:11" ht="45">
      <c r="A169" s="56" t="s">
        <v>412</v>
      </c>
      <c r="B169" s="17" t="s">
        <v>413</v>
      </c>
      <c r="C169" s="18" t="s">
        <v>414</v>
      </c>
      <c r="D169" s="19" t="s">
        <v>38</v>
      </c>
      <c r="E169" s="20">
        <v>10</v>
      </c>
      <c r="F169" s="21">
        <v>6.27</v>
      </c>
      <c r="G169" s="21">
        <f t="shared" si="19"/>
        <v>8.24</v>
      </c>
      <c r="H169" s="57">
        <f t="shared" si="18"/>
        <v>82.4</v>
      </c>
      <c r="I169" s="22">
        <f t="shared" si="22"/>
        <v>62.699999999999996</v>
      </c>
      <c r="J169" s="24"/>
    </row>
    <row r="170" spans="1:11" ht="75">
      <c r="A170" s="56" t="s">
        <v>415</v>
      </c>
      <c r="B170" s="17" t="s">
        <v>416</v>
      </c>
      <c r="C170" s="18" t="s">
        <v>417</v>
      </c>
      <c r="D170" s="19" t="s">
        <v>38</v>
      </c>
      <c r="E170" s="20">
        <v>10</v>
      </c>
      <c r="F170" s="21">
        <v>5.1100000000000003</v>
      </c>
      <c r="G170" s="21">
        <f t="shared" si="19"/>
        <v>6.71</v>
      </c>
      <c r="H170" s="57">
        <f t="shared" si="18"/>
        <v>67.099999999999994</v>
      </c>
      <c r="I170" s="22">
        <f t="shared" si="22"/>
        <v>51.1</v>
      </c>
      <c r="J170" s="24"/>
    </row>
    <row r="171" spans="1:11" ht="15">
      <c r="A171" s="54" t="s">
        <v>418</v>
      </c>
      <c r="B171" s="10"/>
      <c r="C171" s="11" t="s">
        <v>419</v>
      </c>
      <c r="D171" s="12" t="s">
        <v>16</v>
      </c>
      <c r="E171" s="13">
        <v>0</v>
      </c>
      <c r="F171" s="23">
        <v>0</v>
      </c>
      <c r="G171" s="14">
        <f t="shared" si="19"/>
        <v>0</v>
      </c>
      <c r="H171" s="55">
        <f>SUM(H172:H181)</f>
        <v>11886.580000000002</v>
      </c>
      <c r="I171" s="22"/>
      <c r="J171" s="24"/>
    </row>
    <row r="172" spans="1:11" ht="150">
      <c r="A172" s="56" t="s">
        <v>420</v>
      </c>
      <c r="B172" s="17" t="s">
        <v>421</v>
      </c>
      <c r="C172" s="18" t="s">
        <v>422</v>
      </c>
      <c r="D172" s="19" t="s">
        <v>24</v>
      </c>
      <c r="E172" s="20">
        <v>12</v>
      </c>
      <c r="F172" s="21">
        <v>143.25</v>
      </c>
      <c r="G172" s="21">
        <f t="shared" si="19"/>
        <v>188.34</v>
      </c>
      <c r="H172" s="57">
        <f t="shared" ref="H172:H181" si="23">TRUNC(E172*G172,2)</f>
        <v>2260.08</v>
      </c>
      <c r="I172" s="22">
        <f t="shared" ref="I172:I200" si="24">E172*F172</f>
        <v>1719</v>
      </c>
      <c r="J172" s="24"/>
    </row>
    <row r="173" spans="1:11" ht="180">
      <c r="A173" s="56" t="s">
        <v>423</v>
      </c>
      <c r="B173" s="17" t="s">
        <v>424</v>
      </c>
      <c r="C173" s="18" t="s">
        <v>425</v>
      </c>
      <c r="D173" s="19" t="s">
        <v>24</v>
      </c>
      <c r="E173" s="20">
        <v>15</v>
      </c>
      <c r="F173" s="21">
        <v>282.04000000000002</v>
      </c>
      <c r="G173" s="21">
        <f t="shared" si="19"/>
        <v>370.82</v>
      </c>
      <c r="H173" s="57">
        <f t="shared" si="23"/>
        <v>5562.3</v>
      </c>
      <c r="I173" s="22">
        <f t="shared" si="24"/>
        <v>4230.6000000000004</v>
      </c>
      <c r="J173" s="24"/>
    </row>
    <row r="174" spans="1:11" ht="45">
      <c r="A174" s="56" t="s">
        <v>426</v>
      </c>
      <c r="B174" s="17">
        <v>91953</v>
      </c>
      <c r="C174" s="18" t="s">
        <v>427</v>
      </c>
      <c r="D174" s="19" t="s">
        <v>248</v>
      </c>
      <c r="E174" s="20">
        <v>7</v>
      </c>
      <c r="F174" s="21">
        <v>27.69</v>
      </c>
      <c r="G174" s="21">
        <f t="shared" si="19"/>
        <v>36.4</v>
      </c>
      <c r="H174" s="57">
        <f t="shared" si="23"/>
        <v>254.8</v>
      </c>
      <c r="I174" s="22">
        <f t="shared" si="24"/>
        <v>193.83</v>
      </c>
      <c r="J174" s="24"/>
    </row>
    <row r="175" spans="1:11" ht="45">
      <c r="A175" s="56" t="s">
        <v>428</v>
      </c>
      <c r="B175" s="17">
        <v>91959</v>
      </c>
      <c r="C175" s="18" t="s">
        <v>429</v>
      </c>
      <c r="D175" s="19" t="s">
        <v>248</v>
      </c>
      <c r="E175" s="20">
        <v>2</v>
      </c>
      <c r="F175" s="21">
        <v>42.36</v>
      </c>
      <c r="G175" s="21">
        <f t="shared" si="19"/>
        <v>55.69</v>
      </c>
      <c r="H175" s="57">
        <f t="shared" si="23"/>
        <v>111.38</v>
      </c>
      <c r="I175" s="22">
        <f t="shared" si="24"/>
        <v>84.72</v>
      </c>
      <c r="J175" s="24"/>
    </row>
    <row r="176" spans="1:11" ht="75">
      <c r="A176" s="56" t="s">
        <v>430</v>
      </c>
      <c r="B176" s="17" t="s">
        <v>431</v>
      </c>
      <c r="C176" s="18" t="s">
        <v>432</v>
      </c>
      <c r="D176" s="19" t="s">
        <v>433</v>
      </c>
      <c r="E176" s="20">
        <v>5</v>
      </c>
      <c r="F176" s="21">
        <v>25.1</v>
      </c>
      <c r="G176" s="21">
        <f t="shared" si="19"/>
        <v>33</v>
      </c>
      <c r="H176" s="57">
        <f t="shared" si="23"/>
        <v>165</v>
      </c>
      <c r="I176" s="22">
        <f t="shared" si="24"/>
        <v>125.5</v>
      </c>
      <c r="J176" s="24"/>
    </row>
    <row r="177" spans="1:10" ht="75">
      <c r="A177" s="56" t="s">
        <v>434</v>
      </c>
      <c r="B177" s="17" t="s">
        <v>435</v>
      </c>
      <c r="C177" s="18" t="s">
        <v>436</v>
      </c>
      <c r="D177" s="19" t="s">
        <v>24</v>
      </c>
      <c r="E177" s="20">
        <v>12</v>
      </c>
      <c r="F177" s="21">
        <v>171.67</v>
      </c>
      <c r="G177" s="21">
        <f t="shared" si="19"/>
        <v>225.71</v>
      </c>
      <c r="H177" s="57">
        <f t="shared" si="23"/>
        <v>2708.52</v>
      </c>
      <c r="I177" s="22">
        <f t="shared" si="24"/>
        <v>2060.04</v>
      </c>
      <c r="J177" s="24"/>
    </row>
    <row r="178" spans="1:10" ht="60">
      <c r="A178" s="56" t="s">
        <v>437</v>
      </c>
      <c r="B178" s="17">
        <v>97892</v>
      </c>
      <c r="C178" s="18" t="s">
        <v>438</v>
      </c>
      <c r="D178" s="19" t="s">
        <v>248</v>
      </c>
      <c r="E178" s="20">
        <v>1</v>
      </c>
      <c r="F178" s="21">
        <v>341.74</v>
      </c>
      <c r="G178" s="21">
        <f t="shared" si="19"/>
        <v>449.31</v>
      </c>
      <c r="H178" s="57">
        <f t="shared" si="23"/>
        <v>449.31</v>
      </c>
      <c r="I178" s="22">
        <f t="shared" si="24"/>
        <v>341.74</v>
      </c>
      <c r="J178" s="24"/>
    </row>
    <row r="179" spans="1:10" ht="45">
      <c r="A179" s="56" t="s">
        <v>439</v>
      </c>
      <c r="B179" s="17" t="s">
        <v>440</v>
      </c>
      <c r="C179" s="18" t="s">
        <v>441</v>
      </c>
      <c r="D179" s="19" t="s">
        <v>433</v>
      </c>
      <c r="E179" s="20">
        <v>1</v>
      </c>
      <c r="F179" s="21">
        <v>112.33</v>
      </c>
      <c r="G179" s="21">
        <f t="shared" si="19"/>
        <v>147.69</v>
      </c>
      <c r="H179" s="57">
        <f t="shared" si="23"/>
        <v>147.69</v>
      </c>
      <c r="I179" s="22">
        <f t="shared" si="24"/>
        <v>112.33</v>
      </c>
      <c r="J179" s="24"/>
    </row>
    <row r="180" spans="1:10" ht="45">
      <c r="A180" s="56" t="s">
        <v>442</v>
      </c>
      <c r="B180" s="17" t="s">
        <v>443</v>
      </c>
      <c r="C180" s="18" t="s">
        <v>444</v>
      </c>
      <c r="D180" s="19" t="s">
        <v>38</v>
      </c>
      <c r="E180" s="20">
        <v>10</v>
      </c>
      <c r="F180" s="21">
        <v>12.2</v>
      </c>
      <c r="G180" s="21">
        <f t="shared" si="19"/>
        <v>16.04</v>
      </c>
      <c r="H180" s="57">
        <f t="shared" si="23"/>
        <v>160.4</v>
      </c>
      <c r="I180" s="22">
        <f t="shared" si="24"/>
        <v>122</v>
      </c>
      <c r="J180" s="24"/>
    </row>
    <row r="181" spans="1:10" ht="75">
      <c r="A181" s="56" t="s">
        <v>445</v>
      </c>
      <c r="B181" s="17" t="s">
        <v>416</v>
      </c>
      <c r="C181" s="18" t="s">
        <v>417</v>
      </c>
      <c r="D181" s="19" t="s">
        <v>38</v>
      </c>
      <c r="E181" s="20">
        <v>10</v>
      </c>
      <c r="F181" s="21">
        <v>5.1100000000000003</v>
      </c>
      <c r="G181" s="21">
        <f t="shared" si="19"/>
        <v>6.71</v>
      </c>
      <c r="H181" s="57">
        <f t="shared" si="23"/>
        <v>67.099999999999994</v>
      </c>
      <c r="I181" s="22">
        <f t="shared" si="24"/>
        <v>51.1</v>
      </c>
      <c r="J181" s="24"/>
    </row>
    <row r="182" spans="1:10" ht="15">
      <c r="A182" s="54" t="s">
        <v>446</v>
      </c>
      <c r="B182" s="10"/>
      <c r="C182" s="11" t="s">
        <v>447</v>
      </c>
      <c r="D182" s="12" t="s">
        <v>16</v>
      </c>
      <c r="E182" s="13">
        <v>0</v>
      </c>
      <c r="F182" s="23">
        <v>0</v>
      </c>
      <c r="G182" s="14">
        <f t="shared" si="19"/>
        <v>0</v>
      </c>
      <c r="H182" s="55">
        <f>SUM(H183:H192)</f>
        <v>186762.51</v>
      </c>
      <c r="I182" s="22">
        <f t="shared" si="24"/>
        <v>0</v>
      </c>
      <c r="J182" s="24"/>
    </row>
    <row r="183" spans="1:10" ht="60">
      <c r="A183" s="56" t="s">
        <v>448</v>
      </c>
      <c r="B183" s="17" t="s">
        <v>449</v>
      </c>
      <c r="C183" s="18" t="s">
        <v>450</v>
      </c>
      <c r="D183" s="19" t="s">
        <v>42</v>
      </c>
      <c r="E183" s="20">
        <f>117.6*8.28</f>
        <v>973.72799999999984</v>
      </c>
      <c r="F183" s="21">
        <v>99.26</v>
      </c>
      <c r="G183" s="21">
        <f t="shared" si="19"/>
        <v>130.5</v>
      </c>
      <c r="H183" s="57">
        <f t="shared" ref="H183:H192" si="25">TRUNC(E183*G183,2)</f>
        <v>127071.5</v>
      </c>
      <c r="I183" s="22">
        <f t="shared" si="24"/>
        <v>96652.241279999987</v>
      </c>
      <c r="J183" s="24"/>
    </row>
    <row r="184" spans="1:10" ht="30">
      <c r="A184" s="56" t="s">
        <v>451</v>
      </c>
      <c r="B184" s="17" t="s">
        <v>452</v>
      </c>
      <c r="C184" s="18" t="s">
        <v>453</v>
      </c>
      <c r="D184" s="19" t="s">
        <v>49</v>
      </c>
      <c r="E184" s="20">
        <v>65</v>
      </c>
      <c r="F184" s="21">
        <v>13.04</v>
      </c>
      <c r="G184" s="21">
        <f t="shared" si="19"/>
        <v>17.14</v>
      </c>
      <c r="H184" s="57">
        <f t="shared" si="25"/>
        <v>1114.0999999999999</v>
      </c>
      <c r="I184" s="22">
        <f t="shared" si="24"/>
        <v>847.59999999999991</v>
      </c>
      <c r="J184" s="24"/>
    </row>
    <row r="185" spans="1:10" ht="60">
      <c r="A185" s="56" t="s">
        <v>454</v>
      </c>
      <c r="B185" s="17" t="s">
        <v>455</v>
      </c>
      <c r="C185" s="18" t="s">
        <v>456</v>
      </c>
      <c r="D185" s="19" t="s">
        <v>49</v>
      </c>
      <c r="E185" s="20">
        <v>19.32</v>
      </c>
      <c r="F185" s="21">
        <v>89.77</v>
      </c>
      <c r="G185" s="21">
        <f t="shared" si="19"/>
        <v>118.02</v>
      </c>
      <c r="H185" s="57">
        <f t="shared" si="25"/>
        <v>2280.14</v>
      </c>
      <c r="I185" s="22">
        <f t="shared" si="24"/>
        <v>1734.3563999999999</v>
      </c>
      <c r="J185" s="24"/>
    </row>
    <row r="186" spans="1:10" ht="75">
      <c r="A186" s="56" t="s">
        <v>457</v>
      </c>
      <c r="B186" s="17">
        <v>92580</v>
      </c>
      <c r="C186" s="18" t="s">
        <v>458</v>
      </c>
      <c r="D186" s="19" t="s">
        <v>49</v>
      </c>
      <c r="E186" s="20">
        <f>117.6+8.28</f>
        <v>125.88</v>
      </c>
      <c r="F186" s="21">
        <v>46.96</v>
      </c>
      <c r="G186" s="21">
        <f t="shared" si="19"/>
        <v>61.74</v>
      </c>
      <c r="H186" s="57">
        <f t="shared" si="25"/>
        <v>7771.83</v>
      </c>
      <c r="I186" s="22">
        <f t="shared" si="24"/>
        <v>5911.3248000000003</v>
      </c>
      <c r="J186" s="24"/>
    </row>
    <row r="187" spans="1:10" ht="45">
      <c r="A187" s="56" t="s">
        <v>459</v>
      </c>
      <c r="B187" s="17" t="s">
        <v>460</v>
      </c>
      <c r="C187" s="18" t="s">
        <v>461</v>
      </c>
      <c r="D187" s="19" t="s">
        <v>49</v>
      </c>
      <c r="E187" s="20">
        <v>38.83</v>
      </c>
      <c r="F187" s="21">
        <v>541.38</v>
      </c>
      <c r="G187" s="21">
        <f t="shared" si="19"/>
        <v>711.8</v>
      </c>
      <c r="H187" s="57">
        <f t="shared" si="25"/>
        <v>27639.19</v>
      </c>
      <c r="I187" s="22">
        <f t="shared" si="24"/>
        <v>21021.785400000001</v>
      </c>
      <c r="J187" s="24"/>
    </row>
    <row r="188" spans="1:10" ht="45">
      <c r="A188" s="56" t="s">
        <v>462</v>
      </c>
      <c r="B188" s="17">
        <v>100327</v>
      </c>
      <c r="C188" s="18" t="s">
        <v>463</v>
      </c>
      <c r="D188" s="19" t="s">
        <v>185</v>
      </c>
      <c r="E188" s="20">
        <f>80+8.89</f>
        <v>88.89</v>
      </c>
      <c r="F188" s="21">
        <v>64.709999999999994</v>
      </c>
      <c r="G188" s="21">
        <f t="shared" si="19"/>
        <v>85.08</v>
      </c>
      <c r="H188" s="57">
        <f t="shared" si="25"/>
        <v>7562.76</v>
      </c>
      <c r="I188" s="22">
        <f t="shared" si="24"/>
        <v>5752.0718999999999</v>
      </c>
      <c r="J188" s="24"/>
    </row>
    <row r="189" spans="1:10" ht="60">
      <c r="A189" s="56" t="s">
        <v>464</v>
      </c>
      <c r="B189" s="17" t="s">
        <v>465</v>
      </c>
      <c r="C189" s="18" t="s">
        <v>466</v>
      </c>
      <c r="D189" s="19" t="s">
        <v>38</v>
      </c>
      <c r="E189" s="20">
        <f>80+8.89</f>
        <v>88.89</v>
      </c>
      <c r="F189" s="21">
        <v>60.24</v>
      </c>
      <c r="G189" s="21">
        <f t="shared" si="19"/>
        <v>79.2</v>
      </c>
      <c r="H189" s="57">
        <f t="shared" si="25"/>
        <v>7040.08</v>
      </c>
      <c r="I189" s="22">
        <f t="shared" si="24"/>
        <v>5354.7336000000005</v>
      </c>
      <c r="J189" s="24"/>
    </row>
    <row r="190" spans="1:10" ht="45">
      <c r="A190" s="56" t="s">
        <v>467</v>
      </c>
      <c r="B190" s="17">
        <v>94229</v>
      </c>
      <c r="C190" s="18" t="s">
        <v>468</v>
      </c>
      <c r="D190" s="19" t="s">
        <v>185</v>
      </c>
      <c r="E190" s="20">
        <v>15</v>
      </c>
      <c r="F190" s="21">
        <v>190.26</v>
      </c>
      <c r="G190" s="21">
        <f t="shared" si="19"/>
        <v>250.15</v>
      </c>
      <c r="H190" s="57">
        <f t="shared" si="25"/>
        <v>3752.25</v>
      </c>
      <c r="I190" s="22">
        <f t="shared" si="24"/>
        <v>2853.8999999999996</v>
      </c>
      <c r="J190" s="24"/>
    </row>
    <row r="191" spans="1:10" ht="45">
      <c r="A191" s="56" t="s">
        <v>469</v>
      </c>
      <c r="B191" s="17" t="s">
        <v>470</v>
      </c>
      <c r="C191" s="18" t="s">
        <v>471</v>
      </c>
      <c r="D191" s="19" t="s">
        <v>38</v>
      </c>
      <c r="E191" s="20">
        <v>15</v>
      </c>
      <c r="F191" s="21">
        <v>115.79</v>
      </c>
      <c r="G191" s="21">
        <f t="shared" si="19"/>
        <v>152.24</v>
      </c>
      <c r="H191" s="57">
        <f t="shared" si="25"/>
        <v>2283.6</v>
      </c>
      <c r="I191" s="22">
        <f t="shared" si="24"/>
        <v>1736.8500000000001</v>
      </c>
      <c r="J191" s="24"/>
    </row>
    <row r="192" spans="1:10" ht="30">
      <c r="A192" s="56" t="s">
        <v>472</v>
      </c>
      <c r="B192" s="17">
        <v>39701</v>
      </c>
      <c r="C192" s="18" t="s">
        <v>473</v>
      </c>
      <c r="D192" s="19" t="s">
        <v>433</v>
      </c>
      <c r="E192" s="20">
        <v>2</v>
      </c>
      <c r="F192" s="21">
        <v>93.96</v>
      </c>
      <c r="G192" s="21">
        <f t="shared" si="19"/>
        <v>123.53</v>
      </c>
      <c r="H192" s="57">
        <f t="shared" si="25"/>
        <v>247.06</v>
      </c>
      <c r="I192" s="22">
        <f t="shared" si="24"/>
        <v>187.92</v>
      </c>
      <c r="J192" s="24"/>
    </row>
    <row r="193" spans="1:10" ht="15">
      <c r="A193" s="54" t="s">
        <v>474</v>
      </c>
      <c r="B193" s="10"/>
      <c r="C193" s="11" t="s">
        <v>475</v>
      </c>
      <c r="D193" s="12" t="s">
        <v>16</v>
      </c>
      <c r="E193" s="13">
        <v>0</v>
      </c>
      <c r="F193" s="23">
        <v>0</v>
      </c>
      <c r="G193" s="14">
        <f t="shared" si="19"/>
        <v>0</v>
      </c>
      <c r="H193" s="55">
        <f>SUM(H194:H200)</f>
        <v>21119.82</v>
      </c>
      <c r="I193" s="22">
        <f t="shared" si="24"/>
        <v>0</v>
      </c>
      <c r="J193" s="24"/>
    </row>
    <row r="194" spans="1:10" ht="30">
      <c r="A194" s="56" t="s">
        <v>476</v>
      </c>
      <c r="B194" s="17">
        <v>98689</v>
      </c>
      <c r="C194" s="18" t="s">
        <v>477</v>
      </c>
      <c r="D194" s="19" t="s">
        <v>185</v>
      </c>
      <c r="E194" s="20">
        <v>15</v>
      </c>
      <c r="F194" s="21">
        <v>83.66</v>
      </c>
      <c r="G194" s="21">
        <f t="shared" si="19"/>
        <v>109.99</v>
      </c>
      <c r="H194" s="57">
        <f t="shared" ref="H194:H200" si="26">TRUNC(E194*G194,2)</f>
        <v>1649.85</v>
      </c>
      <c r="I194" s="22">
        <f t="shared" si="24"/>
        <v>1254.8999999999999</v>
      </c>
      <c r="J194" s="24"/>
    </row>
    <row r="195" spans="1:10" ht="45">
      <c r="A195" s="56" t="s">
        <v>478</v>
      </c>
      <c r="B195" s="17">
        <v>101965</v>
      </c>
      <c r="C195" s="18" t="s">
        <v>479</v>
      </c>
      <c r="D195" s="19" t="s">
        <v>185</v>
      </c>
      <c r="E195" s="20">
        <v>14.8</v>
      </c>
      <c r="F195" s="21">
        <v>101.98</v>
      </c>
      <c r="G195" s="21">
        <f t="shared" si="19"/>
        <v>134.08000000000001</v>
      </c>
      <c r="H195" s="57">
        <f t="shared" si="26"/>
        <v>1984.38</v>
      </c>
      <c r="I195" s="22">
        <f t="shared" si="24"/>
        <v>1509.3040000000001</v>
      </c>
      <c r="J195" s="24"/>
    </row>
    <row r="196" spans="1:10" ht="15">
      <c r="A196" s="56" t="s">
        <v>480</v>
      </c>
      <c r="B196" s="17" t="s">
        <v>628</v>
      </c>
      <c r="C196" s="18" t="s">
        <v>481</v>
      </c>
      <c r="D196" s="19" t="s">
        <v>20</v>
      </c>
      <c r="E196" s="20">
        <v>1</v>
      </c>
      <c r="F196" s="21">
        <v>158.6</v>
      </c>
      <c r="G196" s="21">
        <f t="shared" si="19"/>
        <v>208.52</v>
      </c>
      <c r="H196" s="57">
        <f t="shared" si="26"/>
        <v>208.52</v>
      </c>
      <c r="I196" s="22">
        <f t="shared" si="24"/>
        <v>158.6</v>
      </c>
      <c r="J196" s="24"/>
    </row>
    <row r="197" spans="1:10" ht="45">
      <c r="A197" s="56" t="s">
        <v>482</v>
      </c>
      <c r="B197" s="17" t="s">
        <v>483</v>
      </c>
      <c r="C197" s="18" t="s">
        <v>484</v>
      </c>
      <c r="D197" s="19" t="s">
        <v>49</v>
      </c>
      <c r="E197" s="20">
        <v>4.5</v>
      </c>
      <c r="F197" s="21">
        <v>365.76</v>
      </c>
      <c r="G197" s="21">
        <f t="shared" si="19"/>
        <v>480.9</v>
      </c>
      <c r="H197" s="57">
        <f t="shared" si="26"/>
        <v>2164.0500000000002</v>
      </c>
      <c r="I197" s="22">
        <f t="shared" si="24"/>
        <v>1645.92</v>
      </c>
      <c r="J197" s="24"/>
    </row>
    <row r="198" spans="1:10" ht="75">
      <c r="A198" s="56" t="s">
        <v>485</v>
      </c>
      <c r="B198" s="17" t="s">
        <v>486</v>
      </c>
      <c r="C198" s="18" t="s">
        <v>487</v>
      </c>
      <c r="D198" s="19" t="s">
        <v>20</v>
      </c>
      <c r="E198" s="20">
        <v>1</v>
      </c>
      <c r="F198" s="21">
        <v>4527.42</v>
      </c>
      <c r="G198" s="21">
        <f t="shared" si="19"/>
        <v>5952.65</v>
      </c>
      <c r="H198" s="57">
        <f t="shared" si="26"/>
        <v>5952.65</v>
      </c>
      <c r="I198" s="22">
        <f t="shared" si="24"/>
        <v>4527.42</v>
      </c>
      <c r="J198" s="24"/>
    </row>
    <row r="199" spans="1:10" ht="45">
      <c r="A199" s="56" t="s">
        <v>488</v>
      </c>
      <c r="B199" s="17" t="s">
        <v>489</v>
      </c>
      <c r="C199" s="18" t="s">
        <v>490</v>
      </c>
      <c r="D199" s="19" t="s">
        <v>20</v>
      </c>
      <c r="E199" s="20">
        <v>1</v>
      </c>
      <c r="F199" s="21">
        <v>1378.38</v>
      </c>
      <c r="G199" s="21">
        <f t="shared" si="19"/>
        <v>1812.29</v>
      </c>
      <c r="H199" s="57">
        <f t="shared" si="26"/>
        <v>1812.29</v>
      </c>
      <c r="I199" s="22">
        <f t="shared" si="24"/>
        <v>1378.38</v>
      </c>
      <c r="J199" s="24"/>
    </row>
    <row r="200" spans="1:10" ht="60">
      <c r="A200" s="56" t="s">
        <v>491</v>
      </c>
      <c r="B200" s="17" t="s">
        <v>639</v>
      </c>
      <c r="C200" s="18" t="s">
        <v>493</v>
      </c>
      <c r="D200" s="19" t="s">
        <v>20</v>
      </c>
      <c r="E200" s="20">
        <v>3</v>
      </c>
      <c r="F200" s="21">
        <v>1862.92</v>
      </c>
      <c r="G200" s="21">
        <f t="shared" si="19"/>
        <v>2449.36</v>
      </c>
      <c r="H200" s="57">
        <f t="shared" si="26"/>
        <v>7348.08</v>
      </c>
      <c r="I200" s="22">
        <f t="shared" si="24"/>
        <v>5588.76</v>
      </c>
      <c r="J200" s="24"/>
    </row>
    <row r="201" spans="1:10" ht="15">
      <c r="A201" s="54" t="s">
        <v>494</v>
      </c>
      <c r="B201" s="10"/>
      <c r="C201" s="11" t="s">
        <v>495</v>
      </c>
      <c r="D201" s="12" t="s">
        <v>16</v>
      </c>
      <c r="E201" s="13">
        <v>0</v>
      </c>
      <c r="F201" s="23">
        <v>0</v>
      </c>
      <c r="G201" s="14">
        <f t="shared" si="19"/>
        <v>0</v>
      </c>
      <c r="H201" s="55">
        <f>SUM(H202:H221)</f>
        <v>46210.99</v>
      </c>
      <c r="I201" s="22"/>
      <c r="J201" s="24"/>
    </row>
    <row r="202" spans="1:10" ht="60">
      <c r="A202" s="56" t="s">
        <v>496</v>
      </c>
      <c r="B202" s="17">
        <v>95471</v>
      </c>
      <c r="C202" s="18" t="s">
        <v>497</v>
      </c>
      <c r="D202" s="19" t="s">
        <v>248</v>
      </c>
      <c r="E202" s="20">
        <v>4</v>
      </c>
      <c r="F202" s="21">
        <v>755.17</v>
      </c>
      <c r="G202" s="21">
        <f t="shared" si="19"/>
        <v>992.89</v>
      </c>
      <c r="H202" s="57">
        <f t="shared" ref="H202:H221" si="27">TRUNC(E202*G202,2)</f>
        <v>3971.56</v>
      </c>
      <c r="I202" s="22">
        <f t="shared" ref="I202:I230" si="28">E202*F202</f>
        <v>3020.68</v>
      </c>
      <c r="J202" s="24"/>
    </row>
    <row r="203" spans="1:10" ht="15">
      <c r="A203" s="56" t="s">
        <v>498</v>
      </c>
      <c r="B203" s="17" t="s">
        <v>499</v>
      </c>
      <c r="C203" s="18" t="s">
        <v>500</v>
      </c>
      <c r="D203" s="19" t="s">
        <v>255</v>
      </c>
      <c r="E203" s="20">
        <v>4</v>
      </c>
      <c r="F203" s="21">
        <v>184.16</v>
      </c>
      <c r="G203" s="21">
        <f t="shared" si="19"/>
        <v>242.13</v>
      </c>
      <c r="H203" s="57">
        <f t="shared" si="27"/>
        <v>968.52</v>
      </c>
      <c r="I203" s="22">
        <f t="shared" si="28"/>
        <v>736.64</v>
      </c>
      <c r="J203" s="24"/>
    </row>
    <row r="204" spans="1:10" ht="60">
      <c r="A204" s="56" t="s">
        <v>501</v>
      </c>
      <c r="B204" s="17">
        <v>95470</v>
      </c>
      <c r="C204" s="18" t="s">
        <v>502</v>
      </c>
      <c r="D204" s="19" t="s">
        <v>248</v>
      </c>
      <c r="E204" s="20">
        <v>6</v>
      </c>
      <c r="F204" s="21">
        <v>307.02</v>
      </c>
      <c r="G204" s="21">
        <f t="shared" si="19"/>
        <v>403.66</v>
      </c>
      <c r="H204" s="57">
        <f t="shared" si="27"/>
        <v>2421.96</v>
      </c>
      <c r="I204" s="22">
        <f t="shared" si="28"/>
        <v>1842.12</v>
      </c>
      <c r="J204" s="24"/>
    </row>
    <row r="205" spans="1:10" ht="15">
      <c r="A205" s="56" t="s">
        <v>503</v>
      </c>
      <c r="B205" s="17" t="s">
        <v>504</v>
      </c>
      <c r="C205" s="18" t="s">
        <v>505</v>
      </c>
      <c r="D205" s="19" t="s">
        <v>248</v>
      </c>
      <c r="E205" s="20">
        <v>6</v>
      </c>
      <c r="F205" s="21">
        <v>53.06</v>
      </c>
      <c r="G205" s="21">
        <f t="shared" si="19"/>
        <v>69.760000000000005</v>
      </c>
      <c r="H205" s="57">
        <f t="shared" si="27"/>
        <v>418.56</v>
      </c>
      <c r="I205" s="22">
        <f t="shared" si="28"/>
        <v>318.36</v>
      </c>
      <c r="J205" s="24"/>
    </row>
    <row r="206" spans="1:10" ht="45">
      <c r="A206" s="56" t="s">
        <v>506</v>
      </c>
      <c r="B206" s="17" t="s">
        <v>507</v>
      </c>
      <c r="C206" s="18" t="s">
        <v>508</v>
      </c>
      <c r="D206" s="19" t="s">
        <v>248</v>
      </c>
      <c r="E206" s="20">
        <f>6+4</f>
        <v>10</v>
      </c>
      <c r="F206" s="21">
        <v>232.69</v>
      </c>
      <c r="G206" s="21">
        <f t="shared" si="19"/>
        <v>305.94</v>
      </c>
      <c r="H206" s="57">
        <f t="shared" si="27"/>
        <v>3059.4</v>
      </c>
      <c r="I206" s="22">
        <f t="shared" si="28"/>
        <v>2326.9</v>
      </c>
      <c r="J206" s="24"/>
    </row>
    <row r="207" spans="1:10" ht="120">
      <c r="A207" s="56" t="s">
        <v>509</v>
      </c>
      <c r="B207" s="17" t="s">
        <v>510</v>
      </c>
      <c r="C207" s="18" t="s">
        <v>511</v>
      </c>
      <c r="D207" s="19" t="s">
        <v>24</v>
      </c>
      <c r="E207" s="20">
        <v>5</v>
      </c>
      <c r="F207" s="21">
        <v>451.44</v>
      </c>
      <c r="G207" s="21">
        <f t="shared" ref="G207:G254" si="29">TRUNC(F207*(1+$H$9),2)</f>
        <v>593.54999999999995</v>
      </c>
      <c r="H207" s="57">
        <f t="shared" si="27"/>
        <v>2967.75</v>
      </c>
      <c r="I207" s="22">
        <f t="shared" si="28"/>
        <v>2257.1999999999998</v>
      </c>
      <c r="J207" s="24"/>
    </row>
    <row r="208" spans="1:10" ht="90">
      <c r="A208" s="56" t="s">
        <v>512</v>
      </c>
      <c r="B208" s="17">
        <v>86940</v>
      </c>
      <c r="C208" s="18" t="s">
        <v>513</v>
      </c>
      <c r="D208" s="19" t="s">
        <v>248</v>
      </c>
      <c r="E208" s="20">
        <v>4</v>
      </c>
      <c r="F208" s="21">
        <v>1148.93</v>
      </c>
      <c r="G208" s="21">
        <f t="shared" si="29"/>
        <v>1510.61</v>
      </c>
      <c r="H208" s="57">
        <f t="shared" si="27"/>
        <v>6042.44</v>
      </c>
      <c r="I208" s="22">
        <f t="shared" si="28"/>
        <v>4595.72</v>
      </c>
      <c r="J208" s="24"/>
    </row>
    <row r="209" spans="1:10" ht="45">
      <c r="A209" s="56" t="s">
        <v>514</v>
      </c>
      <c r="B209" s="17">
        <v>86901</v>
      </c>
      <c r="C209" s="18" t="s">
        <v>515</v>
      </c>
      <c r="D209" s="19" t="s">
        <v>248</v>
      </c>
      <c r="E209" s="20">
        <v>4</v>
      </c>
      <c r="F209" s="21">
        <v>144.97999999999999</v>
      </c>
      <c r="G209" s="21">
        <f t="shared" si="29"/>
        <v>190.61</v>
      </c>
      <c r="H209" s="57">
        <f t="shared" si="27"/>
        <v>762.44</v>
      </c>
      <c r="I209" s="22">
        <f t="shared" si="28"/>
        <v>579.91999999999996</v>
      </c>
      <c r="J209" s="24"/>
    </row>
    <row r="210" spans="1:10" ht="45">
      <c r="A210" s="56" t="s">
        <v>516</v>
      </c>
      <c r="B210" s="17">
        <v>86910</v>
      </c>
      <c r="C210" s="18" t="s">
        <v>517</v>
      </c>
      <c r="D210" s="19" t="s">
        <v>248</v>
      </c>
      <c r="E210" s="20">
        <v>4</v>
      </c>
      <c r="F210" s="21">
        <v>100.45</v>
      </c>
      <c r="G210" s="21">
        <f t="shared" si="29"/>
        <v>132.07</v>
      </c>
      <c r="H210" s="57">
        <f t="shared" si="27"/>
        <v>528.28</v>
      </c>
      <c r="I210" s="22">
        <f t="shared" si="28"/>
        <v>401.8</v>
      </c>
      <c r="J210" s="24"/>
    </row>
    <row r="211" spans="1:10" ht="30">
      <c r="A211" s="56" t="s">
        <v>518</v>
      </c>
      <c r="B211" s="17" t="s">
        <v>519</v>
      </c>
      <c r="C211" s="18" t="s">
        <v>520</v>
      </c>
      <c r="D211" s="19" t="s">
        <v>248</v>
      </c>
      <c r="E211" s="20">
        <f>9+4</f>
        <v>13</v>
      </c>
      <c r="F211" s="21">
        <v>804.65</v>
      </c>
      <c r="G211" s="21">
        <f t="shared" si="29"/>
        <v>1057.95</v>
      </c>
      <c r="H211" s="57">
        <f t="shared" si="27"/>
        <v>13753.35</v>
      </c>
      <c r="I211" s="22">
        <f t="shared" si="28"/>
        <v>10460.449999999999</v>
      </c>
      <c r="J211" s="24"/>
    </row>
    <row r="212" spans="1:10" ht="30">
      <c r="A212" s="56" t="s">
        <v>521</v>
      </c>
      <c r="B212" s="17">
        <v>86885</v>
      </c>
      <c r="C212" s="18" t="s">
        <v>522</v>
      </c>
      <c r="D212" s="19" t="s">
        <v>248</v>
      </c>
      <c r="E212" s="20">
        <f>5+6</f>
        <v>11</v>
      </c>
      <c r="F212" s="21">
        <v>11.55</v>
      </c>
      <c r="G212" s="21">
        <f t="shared" si="29"/>
        <v>15.18</v>
      </c>
      <c r="H212" s="57">
        <f t="shared" si="27"/>
        <v>166.98</v>
      </c>
      <c r="I212" s="22">
        <f t="shared" si="28"/>
        <v>127.05000000000001</v>
      </c>
      <c r="J212" s="24"/>
    </row>
    <row r="213" spans="1:10" ht="30">
      <c r="A213" s="56" t="s">
        <v>523</v>
      </c>
      <c r="B213" s="17" t="s">
        <v>243</v>
      </c>
      <c r="C213" s="18" t="s">
        <v>525</v>
      </c>
      <c r="D213" s="19" t="s">
        <v>20</v>
      </c>
      <c r="E213" s="20">
        <v>3</v>
      </c>
      <c r="F213" s="21">
        <v>335.26</v>
      </c>
      <c r="G213" s="21">
        <f t="shared" si="29"/>
        <v>440.79</v>
      </c>
      <c r="H213" s="57">
        <f t="shared" si="27"/>
        <v>1322.37</v>
      </c>
      <c r="I213" s="22">
        <f t="shared" si="28"/>
        <v>1005.78</v>
      </c>
      <c r="J213" s="24"/>
    </row>
    <row r="214" spans="1:10" ht="45">
      <c r="A214" s="56" t="s">
        <v>526</v>
      </c>
      <c r="B214" s="17" t="s">
        <v>527</v>
      </c>
      <c r="C214" s="18" t="s">
        <v>528</v>
      </c>
      <c r="D214" s="19" t="s">
        <v>24</v>
      </c>
      <c r="E214" s="20">
        <v>1</v>
      </c>
      <c r="F214" s="21">
        <v>151.61000000000001</v>
      </c>
      <c r="G214" s="21">
        <f t="shared" si="29"/>
        <v>199.33</v>
      </c>
      <c r="H214" s="57">
        <f t="shared" si="27"/>
        <v>199.33</v>
      </c>
      <c r="I214" s="22">
        <f t="shared" si="28"/>
        <v>151.61000000000001</v>
      </c>
      <c r="J214" s="24"/>
    </row>
    <row r="215" spans="1:10" ht="45">
      <c r="A215" s="56" t="s">
        <v>529</v>
      </c>
      <c r="B215" s="17">
        <v>100860</v>
      </c>
      <c r="C215" s="18" t="s">
        <v>530</v>
      </c>
      <c r="D215" s="19" t="s">
        <v>24</v>
      </c>
      <c r="E215" s="20">
        <v>2</v>
      </c>
      <c r="F215" s="21">
        <v>84.05</v>
      </c>
      <c r="G215" s="21">
        <f t="shared" si="29"/>
        <v>110.5</v>
      </c>
      <c r="H215" s="57">
        <f t="shared" si="27"/>
        <v>221</v>
      </c>
      <c r="I215" s="22">
        <f t="shared" si="28"/>
        <v>168.1</v>
      </c>
      <c r="J215" s="24"/>
    </row>
    <row r="216" spans="1:10" ht="75">
      <c r="A216" s="56" t="s">
        <v>531</v>
      </c>
      <c r="B216" s="17" t="s">
        <v>532</v>
      </c>
      <c r="C216" s="18" t="s">
        <v>533</v>
      </c>
      <c r="D216" s="19" t="s">
        <v>24</v>
      </c>
      <c r="E216" s="20">
        <v>10</v>
      </c>
      <c r="F216" s="21">
        <v>233.62</v>
      </c>
      <c r="G216" s="21">
        <f t="shared" si="29"/>
        <v>307.16000000000003</v>
      </c>
      <c r="H216" s="57">
        <f t="shared" si="27"/>
        <v>3071.6</v>
      </c>
      <c r="I216" s="22">
        <f t="shared" si="28"/>
        <v>2336.1999999999998</v>
      </c>
      <c r="J216" s="24"/>
    </row>
    <row r="217" spans="1:10" ht="30">
      <c r="A217" s="56" t="s">
        <v>534</v>
      </c>
      <c r="B217" s="17" t="s">
        <v>535</v>
      </c>
      <c r="C217" s="18" t="s">
        <v>536</v>
      </c>
      <c r="D217" s="19" t="s">
        <v>49</v>
      </c>
      <c r="E217" s="20">
        <f>0.5*0.7*4</f>
        <v>1.4</v>
      </c>
      <c r="F217" s="21">
        <v>406.27</v>
      </c>
      <c r="G217" s="21">
        <f t="shared" si="29"/>
        <v>534.16</v>
      </c>
      <c r="H217" s="57">
        <f t="shared" si="27"/>
        <v>747.82</v>
      </c>
      <c r="I217" s="22">
        <f t="shared" si="28"/>
        <v>568.77799999999991</v>
      </c>
      <c r="J217" s="24"/>
    </row>
    <row r="218" spans="1:10" ht="30">
      <c r="A218" s="56" t="s">
        <v>537</v>
      </c>
      <c r="B218" s="17" t="s">
        <v>538</v>
      </c>
      <c r="C218" s="18" t="s">
        <v>539</v>
      </c>
      <c r="D218" s="19" t="s">
        <v>255</v>
      </c>
      <c r="E218" s="20">
        <f>14+2</f>
        <v>16</v>
      </c>
      <c r="F218" s="21">
        <v>75.319999999999993</v>
      </c>
      <c r="G218" s="21">
        <f t="shared" si="29"/>
        <v>99.03</v>
      </c>
      <c r="H218" s="57">
        <f t="shared" si="27"/>
        <v>1584.48</v>
      </c>
      <c r="I218" s="22">
        <f t="shared" si="28"/>
        <v>1205.1199999999999</v>
      </c>
      <c r="J218" s="24"/>
    </row>
    <row r="219" spans="1:10" ht="30">
      <c r="A219" s="56" t="s">
        <v>540</v>
      </c>
      <c r="B219" s="17" t="s">
        <v>541</v>
      </c>
      <c r="C219" s="18" t="s">
        <v>542</v>
      </c>
      <c r="D219" s="19" t="s">
        <v>255</v>
      </c>
      <c r="E219" s="20">
        <f>32+2</f>
        <v>34</v>
      </c>
      <c r="F219" s="21">
        <v>60.3</v>
      </c>
      <c r="G219" s="21">
        <f t="shared" si="29"/>
        <v>79.28</v>
      </c>
      <c r="H219" s="57">
        <f t="shared" si="27"/>
        <v>2695.52</v>
      </c>
      <c r="I219" s="22">
        <f t="shared" si="28"/>
        <v>2050.1999999999998</v>
      </c>
      <c r="J219" s="24"/>
    </row>
    <row r="220" spans="1:10" ht="30">
      <c r="A220" s="56" t="s">
        <v>543</v>
      </c>
      <c r="B220" s="17" t="s">
        <v>544</v>
      </c>
      <c r="C220" s="18" t="s">
        <v>545</v>
      </c>
      <c r="D220" s="19" t="s">
        <v>433</v>
      </c>
      <c r="E220" s="20">
        <f>7+2</f>
        <v>9</v>
      </c>
      <c r="F220" s="21">
        <v>64.400000000000006</v>
      </c>
      <c r="G220" s="21">
        <f t="shared" si="29"/>
        <v>84.67</v>
      </c>
      <c r="H220" s="57">
        <f t="shared" si="27"/>
        <v>762.03</v>
      </c>
      <c r="I220" s="22">
        <f t="shared" si="28"/>
        <v>579.6</v>
      </c>
      <c r="J220" s="24"/>
    </row>
    <row r="221" spans="1:10" ht="30">
      <c r="A221" s="56" t="s">
        <v>546</v>
      </c>
      <c r="B221" s="17">
        <v>95544</v>
      </c>
      <c r="C221" s="18" t="s">
        <v>547</v>
      </c>
      <c r="D221" s="19" t="s">
        <v>248</v>
      </c>
      <c r="E221" s="20">
        <f>5+6</f>
        <v>11</v>
      </c>
      <c r="F221" s="21">
        <v>37.729999999999997</v>
      </c>
      <c r="G221" s="21">
        <f t="shared" si="29"/>
        <v>49.6</v>
      </c>
      <c r="H221" s="57">
        <f t="shared" si="27"/>
        <v>545.6</v>
      </c>
      <c r="I221" s="22">
        <f t="shared" si="28"/>
        <v>415.03</v>
      </c>
      <c r="J221" s="24"/>
    </row>
    <row r="222" spans="1:10" ht="15">
      <c r="A222" s="54" t="s">
        <v>548</v>
      </c>
      <c r="B222" s="10"/>
      <c r="C222" s="11" t="s">
        <v>549</v>
      </c>
      <c r="D222" s="12" t="s">
        <v>16</v>
      </c>
      <c r="E222" s="13">
        <v>0</v>
      </c>
      <c r="F222" s="23">
        <v>0</v>
      </c>
      <c r="G222" s="14">
        <f t="shared" si="29"/>
        <v>0</v>
      </c>
      <c r="H222" s="55">
        <f>SUM(H223:H230)</f>
        <v>27240.919999999995</v>
      </c>
      <c r="I222" s="22">
        <f t="shared" si="28"/>
        <v>0</v>
      </c>
      <c r="J222" s="24"/>
    </row>
    <row r="223" spans="1:10" ht="60">
      <c r="A223" s="56" t="s">
        <v>550</v>
      </c>
      <c r="B223" s="17" t="s">
        <v>551</v>
      </c>
      <c r="C223" s="18" t="s">
        <v>552</v>
      </c>
      <c r="D223" s="19" t="s">
        <v>553</v>
      </c>
      <c r="E223" s="20">
        <v>2</v>
      </c>
      <c r="F223" s="21">
        <v>636.94000000000005</v>
      </c>
      <c r="G223" s="21">
        <f t="shared" si="29"/>
        <v>837.44</v>
      </c>
      <c r="H223" s="57">
        <f t="shared" ref="H223:H230" si="30">TRUNC(E223*G223,2)</f>
        <v>1674.88</v>
      </c>
      <c r="I223" s="22">
        <f t="shared" si="28"/>
        <v>1273.8800000000001</v>
      </c>
      <c r="J223" s="24"/>
    </row>
    <row r="224" spans="1:10" ht="60">
      <c r="A224" s="56" t="s">
        <v>554</v>
      </c>
      <c r="B224" s="17" t="s">
        <v>555</v>
      </c>
      <c r="C224" s="18" t="s">
        <v>556</v>
      </c>
      <c r="D224" s="19" t="s">
        <v>553</v>
      </c>
      <c r="E224" s="20">
        <v>1</v>
      </c>
      <c r="F224" s="21">
        <v>1369.44</v>
      </c>
      <c r="G224" s="21">
        <f t="shared" si="29"/>
        <v>1800.53</v>
      </c>
      <c r="H224" s="57">
        <f t="shared" si="30"/>
        <v>1800.53</v>
      </c>
      <c r="I224" s="22">
        <f t="shared" si="28"/>
        <v>1369.44</v>
      </c>
      <c r="J224" s="24"/>
    </row>
    <row r="225" spans="1:10" ht="60">
      <c r="A225" s="56" t="s">
        <v>557</v>
      </c>
      <c r="B225" s="17" t="s">
        <v>558</v>
      </c>
      <c r="C225" s="18" t="s">
        <v>559</v>
      </c>
      <c r="D225" s="19" t="s">
        <v>20</v>
      </c>
      <c r="E225" s="20">
        <v>1</v>
      </c>
      <c r="F225" s="21">
        <v>970.27</v>
      </c>
      <c r="G225" s="21">
        <f t="shared" si="29"/>
        <v>1275.71</v>
      </c>
      <c r="H225" s="57">
        <f t="shared" si="30"/>
        <v>1275.71</v>
      </c>
      <c r="I225" s="22">
        <f t="shared" si="28"/>
        <v>970.27</v>
      </c>
      <c r="J225" s="24"/>
    </row>
    <row r="226" spans="1:10" ht="75">
      <c r="A226" s="56" t="s">
        <v>560</v>
      </c>
      <c r="B226" s="17" t="s">
        <v>561</v>
      </c>
      <c r="C226" s="18" t="s">
        <v>562</v>
      </c>
      <c r="D226" s="19" t="s">
        <v>20</v>
      </c>
      <c r="E226" s="20">
        <v>1</v>
      </c>
      <c r="F226" s="21">
        <v>3549.24</v>
      </c>
      <c r="G226" s="21">
        <f t="shared" si="29"/>
        <v>4666.54</v>
      </c>
      <c r="H226" s="57">
        <f t="shared" si="30"/>
        <v>4666.54</v>
      </c>
      <c r="I226" s="22">
        <f t="shared" si="28"/>
        <v>3549.24</v>
      </c>
      <c r="J226" s="24"/>
    </row>
    <row r="227" spans="1:10" ht="60">
      <c r="A227" s="56" t="s">
        <v>563</v>
      </c>
      <c r="B227" s="17" t="s">
        <v>564</v>
      </c>
      <c r="C227" s="18" t="s">
        <v>565</v>
      </c>
      <c r="D227" s="19" t="s">
        <v>20</v>
      </c>
      <c r="E227" s="20">
        <v>8</v>
      </c>
      <c r="F227" s="21">
        <v>667.03</v>
      </c>
      <c r="G227" s="21">
        <f t="shared" si="29"/>
        <v>877.01</v>
      </c>
      <c r="H227" s="57">
        <f t="shared" si="30"/>
        <v>7016.08</v>
      </c>
      <c r="I227" s="22">
        <f t="shared" si="28"/>
        <v>5336.24</v>
      </c>
      <c r="J227" s="24"/>
    </row>
    <row r="228" spans="1:10" ht="75">
      <c r="A228" s="56" t="s">
        <v>566</v>
      </c>
      <c r="B228" s="17" t="s">
        <v>567</v>
      </c>
      <c r="C228" s="18" t="s">
        <v>568</v>
      </c>
      <c r="D228" s="19" t="s">
        <v>20</v>
      </c>
      <c r="E228" s="20">
        <v>1</v>
      </c>
      <c r="F228" s="21">
        <v>1571.75</v>
      </c>
      <c r="G228" s="21">
        <f t="shared" si="29"/>
        <v>2066.5300000000002</v>
      </c>
      <c r="H228" s="57">
        <f t="shared" si="30"/>
        <v>2066.5300000000002</v>
      </c>
      <c r="I228" s="22">
        <f t="shared" si="28"/>
        <v>1571.75</v>
      </c>
      <c r="J228" s="24"/>
    </row>
    <row r="229" spans="1:10" ht="75">
      <c r="A229" s="56" t="s">
        <v>569</v>
      </c>
      <c r="B229" s="17" t="s">
        <v>570</v>
      </c>
      <c r="C229" s="18" t="s">
        <v>571</v>
      </c>
      <c r="D229" s="19" t="s">
        <v>20</v>
      </c>
      <c r="E229" s="20">
        <v>1</v>
      </c>
      <c r="F229" s="21">
        <v>2230.66</v>
      </c>
      <c r="G229" s="21">
        <f t="shared" si="29"/>
        <v>2932.87</v>
      </c>
      <c r="H229" s="57">
        <f t="shared" si="30"/>
        <v>2932.87</v>
      </c>
      <c r="I229" s="22">
        <f t="shared" si="28"/>
        <v>2230.66</v>
      </c>
      <c r="J229" s="24"/>
    </row>
    <row r="230" spans="1:10" ht="75">
      <c r="A230" s="56" t="s">
        <v>572</v>
      </c>
      <c r="B230" s="17" t="s">
        <v>573</v>
      </c>
      <c r="C230" s="18" t="s">
        <v>574</v>
      </c>
      <c r="D230" s="19" t="s">
        <v>20</v>
      </c>
      <c r="E230" s="20">
        <v>1</v>
      </c>
      <c r="F230" s="21">
        <v>4417.24</v>
      </c>
      <c r="G230" s="21">
        <f t="shared" si="29"/>
        <v>5807.78</v>
      </c>
      <c r="H230" s="57">
        <f t="shared" si="30"/>
        <v>5807.78</v>
      </c>
      <c r="I230" s="22">
        <f t="shared" si="28"/>
        <v>4417.24</v>
      </c>
      <c r="J230" s="24"/>
    </row>
    <row r="231" spans="1:10" ht="15">
      <c r="A231" s="54" t="s">
        <v>575</v>
      </c>
      <c r="B231" s="10"/>
      <c r="C231" s="11" t="s">
        <v>576</v>
      </c>
      <c r="D231" s="12" t="s">
        <v>16</v>
      </c>
      <c r="E231" s="13">
        <v>0</v>
      </c>
      <c r="F231" s="23">
        <v>0</v>
      </c>
      <c r="G231" s="14">
        <f t="shared" si="29"/>
        <v>0</v>
      </c>
      <c r="H231" s="55">
        <f>SUM(H232:H244)</f>
        <v>36232.060000000005</v>
      </c>
      <c r="I231" s="22"/>
      <c r="J231" s="24"/>
    </row>
    <row r="232" spans="1:10" ht="75">
      <c r="A232" s="56" t="s">
        <v>577</v>
      </c>
      <c r="B232" s="17">
        <v>92367</v>
      </c>
      <c r="C232" s="18" t="s">
        <v>578</v>
      </c>
      <c r="D232" s="19" t="s">
        <v>185</v>
      </c>
      <c r="E232" s="20">
        <v>120</v>
      </c>
      <c r="F232" s="21">
        <v>122.28</v>
      </c>
      <c r="G232" s="21">
        <f t="shared" si="29"/>
        <v>160.77000000000001</v>
      </c>
      <c r="H232" s="57">
        <f t="shared" ref="H232:H244" si="31">TRUNC(E232*G232,2)</f>
        <v>19292.400000000001</v>
      </c>
      <c r="I232" s="22">
        <f t="shared" ref="I232:I244" si="32">E232*F232</f>
        <v>14673.6</v>
      </c>
      <c r="J232" s="24"/>
    </row>
    <row r="233" spans="1:10" ht="90">
      <c r="A233" s="56" t="s">
        <v>579</v>
      </c>
      <c r="B233" s="17">
        <v>96765</v>
      </c>
      <c r="C233" s="18" t="s">
        <v>580</v>
      </c>
      <c r="D233" s="19" t="s">
        <v>248</v>
      </c>
      <c r="E233" s="20">
        <v>4</v>
      </c>
      <c r="F233" s="21">
        <v>1476.9</v>
      </c>
      <c r="G233" s="21">
        <f t="shared" si="29"/>
        <v>1941.82</v>
      </c>
      <c r="H233" s="57">
        <f t="shared" si="31"/>
        <v>7767.28</v>
      </c>
      <c r="I233" s="22">
        <f t="shared" si="32"/>
        <v>5907.6</v>
      </c>
      <c r="J233" s="24"/>
    </row>
    <row r="234" spans="1:10" ht="30">
      <c r="A234" s="56" t="s">
        <v>581</v>
      </c>
      <c r="B234" s="17" t="s">
        <v>582</v>
      </c>
      <c r="C234" s="18" t="s">
        <v>583</v>
      </c>
      <c r="D234" s="19" t="s">
        <v>248</v>
      </c>
      <c r="E234" s="20">
        <v>1</v>
      </c>
      <c r="F234" s="21">
        <v>511.23</v>
      </c>
      <c r="G234" s="21">
        <f t="shared" si="29"/>
        <v>672.16</v>
      </c>
      <c r="H234" s="57">
        <f t="shared" si="31"/>
        <v>672.16</v>
      </c>
      <c r="I234" s="22">
        <f t="shared" si="32"/>
        <v>511.23</v>
      </c>
      <c r="J234" s="24"/>
    </row>
    <row r="235" spans="1:10" ht="30">
      <c r="A235" s="56" t="s">
        <v>584</v>
      </c>
      <c r="B235" s="17" t="s">
        <v>585</v>
      </c>
      <c r="C235" s="18" t="s">
        <v>586</v>
      </c>
      <c r="D235" s="19" t="s">
        <v>24</v>
      </c>
      <c r="E235" s="20">
        <v>1</v>
      </c>
      <c r="F235" s="21">
        <v>1455.62</v>
      </c>
      <c r="G235" s="21">
        <f t="shared" si="29"/>
        <v>1913.84</v>
      </c>
      <c r="H235" s="57">
        <f t="shared" si="31"/>
        <v>1913.84</v>
      </c>
      <c r="I235" s="22">
        <f t="shared" si="32"/>
        <v>1455.62</v>
      </c>
      <c r="J235" s="24"/>
    </row>
    <row r="236" spans="1:10" ht="30">
      <c r="A236" s="56" t="s">
        <v>587</v>
      </c>
      <c r="B236" s="17" t="s">
        <v>588</v>
      </c>
      <c r="C236" s="18" t="s">
        <v>589</v>
      </c>
      <c r="D236" s="19" t="s">
        <v>255</v>
      </c>
      <c r="E236" s="20">
        <v>5</v>
      </c>
      <c r="F236" s="21">
        <v>19.010000000000002</v>
      </c>
      <c r="G236" s="21">
        <f t="shared" si="29"/>
        <v>24.99</v>
      </c>
      <c r="H236" s="57">
        <f t="shared" si="31"/>
        <v>124.95</v>
      </c>
      <c r="I236" s="22">
        <f t="shared" si="32"/>
        <v>95.050000000000011</v>
      </c>
      <c r="J236" s="24"/>
    </row>
    <row r="237" spans="1:10" ht="30">
      <c r="A237" s="56" t="s">
        <v>590</v>
      </c>
      <c r="B237" s="17" t="s">
        <v>591</v>
      </c>
      <c r="C237" s="18" t="s">
        <v>592</v>
      </c>
      <c r="D237" s="19" t="s">
        <v>255</v>
      </c>
      <c r="E237" s="20">
        <v>5</v>
      </c>
      <c r="F237" s="21">
        <v>19.010000000000002</v>
      </c>
      <c r="G237" s="21">
        <f t="shared" si="29"/>
        <v>24.99</v>
      </c>
      <c r="H237" s="57">
        <f t="shared" si="31"/>
        <v>124.95</v>
      </c>
      <c r="I237" s="22">
        <f t="shared" si="32"/>
        <v>95.050000000000011</v>
      </c>
      <c r="J237" s="24"/>
    </row>
    <row r="238" spans="1:10" ht="30">
      <c r="A238" s="56" t="s">
        <v>593</v>
      </c>
      <c r="B238" s="17" t="s">
        <v>594</v>
      </c>
      <c r="C238" s="18" t="s">
        <v>595</v>
      </c>
      <c r="D238" s="19" t="s">
        <v>255</v>
      </c>
      <c r="E238" s="20">
        <v>3</v>
      </c>
      <c r="F238" s="21">
        <v>19.010000000000002</v>
      </c>
      <c r="G238" s="21">
        <f t="shared" si="29"/>
        <v>24.99</v>
      </c>
      <c r="H238" s="57">
        <f t="shared" si="31"/>
        <v>74.97</v>
      </c>
      <c r="I238" s="22">
        <f t="shared" si="32"/>
        <v>57.03</v>
      </c>
      <c r="J238" s="24"/>
    </row>
    <row r="239" spans="1:10" ht="15">
      <c r="A239" s="56" t="s">
        <v>596</v>
      </c>
      <c r="B239" s="17" t="s">
        <v>597</v>
      </c>
      <c r="C239" s="18" t="s">
        <v>598</v>
      </c>
      <c r="D239" s="19" t="s">
        <v>24</v>
      </c>
      <c r="E239" s="20">
        <v>5</v>
      </c>
      <c r="F239" s="21">
        <v>120.78</v>
      </c>
      <c r="G239" s="21">
        <f t="shared" si="29"/>
        <v>158.80000000000001</v>
      </c>
      <c r="H239" s="57">
        <f t="shared" si="31"/>
        <v>794</v>
      </c>
      <c r="I239" s="22">
        <f t="shared" si="32"/>
        <v>603.9</v>
      </c>
      <c r="J239" s="24"/>
    </row>
    <row r="240" spans="1:10" ht="75">
      <c r="A240" s="56" t="s">
        <v>599</v>
      </c>
      <c r="B240" s="17" t="s">
        <v>600</v>
      </c>
      <c r="C240" s="18" t="s">
        <v>601</v>
      </c>
      <c r="D240" s="19" t="s">
        <v>255</v>
      </c>
      <c r="E240" s="20">
        <v>1</v>
      </c>
      <c r="F240" s="21">
        <v>499.69</v>
      </c>
      <c r="G240" s="21">
        <f t="shared" si="29"/>
        <v>656.99</v>
      </c>
      <c r="H240" s="57">
        <f t="shared" si="31"/>
        <v>656.99</v>
      </c>
      <c r="I240" s="22">
        <f t="shared" si="32"/>
        <v>499.69</v>
      </c>
      <c r="J240" s="24"/>
    </row>
    <row r="241" spans="1:11" ht="30">
      <c r="A241" s="56" t="s">
        <v>602</v>
      </c>
      <c r="B241" s="17" t="s">
        <v>603</v>
      </c>
      <c r="C241" s="18" t="s">
        <v>604</v>
      </c>
      <c r="D241" s="19" t="s">
        <v>248</v>
      </c>
      <c r="E241" s="20">
        <v>6</v>
      </c>
      <c r="F241" s="21">
        <v>7.11</v>
      </c>
      <c r="G241" s="21">
        <f t="shared" si="29"/>
        <v>9.34</v>
      </c>
      <c r="H241" s="57">
        <f t="shared" si="31"/>
        <v>56.04</v>
      </c>
      <c r="I241" s="22">
        <f t="shared" si="32"/>
        <v>42.660000000000004</v>
      </c>
      <c r="J241" s="24"/>
    </row>
    <row r="242" spans="1:11" ht="15">
      <c r="A242" s="56" t="s">
        <v>605</v>
      </c>
      <c r="B242" s="17" t="s">
        <v>606</v>
      </c>
      <c r="C242" s="18" t="s">
        <v>607</v>
      </c>
      <c r="D242" s="19" t="s">
        <v>248</v>
      </c>
      <c r="E242" s="20">
        <v>6</v>
      </c>
      <c r="F242" s="21">
        <v>131.11000000000001</v>
      </c>
      <c r="G242" s="21">
        <f t="shared" si="29"/>
        <v>172.38</v>
      </c>
      <c r="H242" s="57">
        <f t="shared" si="31"/>
        <v>1034.28</v>
      </c>
      <c r="I242" s="22">
        <f t="shared" si="32"/>
        <v>786.66000000000008</v>
      </c>
      <c r="J242" s="24"/>
    </row>
    <row r="243" spans="1:11" ht="45">
      <c r="A243" s="56" t="s">
        <v>608</v>
      </c>
      <c r="B243" s="17" t="s">
        <v>609</v>
      </c>
      <c r="C243" s="18" t="s">
        <v>610</v>
      </c>
      <c r="D243" s="19" t="s">
        <v>24</v>
      </c>
      <c r="E243" s="20">
        <v>10</v>
      </c>
      <c r="F243" s="21">
        <v>29.04</v>
      </c>
      <c r="G243" s="21">
        <f t="shared" si="29"/>
        <v>38.18</v>
      </c>
      <c r="H243" s="57">
        <f t="shared" si="31"/>
        <v>381.8</v>
      </c>
      <c r="I243" s="22">
        <f t="shared" si="32"/>
        <v>290.39999999999998</v>
      </c>
      <c r="J243" s="24"/>
    </row>
    <row r="244" spans="1:11" ht="45">
      <c r="A244" s="56" t="s">
        <v>611</v>
      </c>
      <c r="B244" s="17" t="s">
        <v>612</v>
      </c>
      <c r="C244" s="18" t="s">
        <v>613</v>
      </c>
      <c r="D244" s="19" t="s">
        <v>38</v>
      </c>
      <c r="E244" s="20">
        <v>120</v>
      </c>
      <c r="F244" s="21">
        <v>21.16</v>
      </c>
      <c r="G244" s="21">
        <f t="shared" si="29"/>
        <v>27.82</v>
      </c>
      <c r="H244" s="57">
        <f t="shared" si="31"/>
        <v>3338.4</v>
      </c>
      <c r="I244" s="22">
        <f t="shared" si="32"/>
        <v>2539.1999999999998</v>
      </c>
      <c r="J244" s="24"/>
    </row>
    <row r="245" spans="1:11" ht="15">
      <c r="A245" s="54" t="s">
        <v>614</v>
      </c>
      <c r="B245" s="10"/>
      <c r="C245" s="11" t="s">
        <v>615</v>
      </c>
      <c r="D245" s="12" t="s">
        <v>16</v>
      </c>
      <c r="E245" s="13">
        <v>0</v>
      </c>
      <c r="F245" s="23">
        <v>0</v>
      </c>
      <c r="G245" s="14">
        <f t="shared" si="29"/>
        <v>0</v>
      </c>
      <c r="H245" s="55">
        <f>SUM(H246:H252)</f>
        <v>35165.979999999996</v>
      </c>
      <c r="I245" s="22"/>
      <c r="J245" s="24"/>
    </row>
    <row r="246" spans="1:11" ht="45">
      <c r="A246" s="56" t="s">
        <v>616</v>
      </c>
      <c r="B246" s="17">
        <v>103250</v>
      </c>
      <c r="C246" s="18" t="s">
        <v>617</v>
      </c>
      <c r="D246" s="19" t="s">
        <v>248</v>
      </c>
      <c r="E246" s="20">
        <v>1</v>
      </c>
      <c r="F246" s="21">
        <v>3577.23</v>
      </c>
      <c r="G246" s="21">
        <f t="shared" si="29"/>
        <v>4703.34</v>
      </c>
      <c r="H246" s="57">
        <f t="shared" ref="H246:H252" si="33">TRUNC(E246*G246,2)</f>
        <v>4703.34</v>
      </c>
      <c r="I246" s="22">
        <f t="shared" ref="I246:I252" si="34">E246*F246</f>
        <v>3577.23</v>
      </c>
      <c r="J246" s="24"/>
    </row>
    <row r="247" spans="1:11" ht="30">
      <c r="A247" s="56" t="s">
        <v>618</v>
      </c>
      <c r="B247" s="17" t="s">
        <v>619</v>
      </c>
      <c r="C247" s="18" t="s">
        <v>620</v>
      </c>
      <c r="D247" s="19" t="s">
        <v>20</v>
      </c>
      <c r="E247" s="20">
        <v>1</v>
      </c>
      <c r="F247" s="21">
        <v>737.38</v>
      </c>
      <c r="G247" s="21">
        <f t="shared" si="29"/>
        <v>969.5</v>
      </c>
      <c r="H247" s="57">
        <f t="shared" si="33"/>
        <v>969.5</v>
      </c>
      <c r="I247" s="22">
        <f t="shared" si="34"/>
        <v>737.38</v>
      </c>
      <c r="J247" s="24"/>
    </row>
    <row r="248" spans="1:11" ht="105">
      <c r="A248" s="56" t="s">
        <v>621</v>
      </c>
      <c r="B248" s="17" t="s">
        <v>622</v>
      </c>
      <c r="C248" s="18" t="s">
        <v>623</v>
      </c>
      <c r="D248" s="19" t="s">
        <v>20</v>
      </c>
      <c r="E248" s="20">
        <v>1</v>
      </c>
      <c r="F248" s="21">
        <v>13323.76</v>
      </c>
      <c r="G248" s="21">
        <f t="shared" si="29"/>
        <v>17518.07</v>
      </c>
      <c r="H248" s="57">
        <f t="shared" si="33"/>
        <v>17518.07</v>
      </c>
      <c r="I248" s="22">
        <f t="shared" si="34"/>
        <v>13323.76</v>
      </c>
      <c r="J248" s="24"/>
    </row>
    <row r="249" spans="1:11" ht="60">
      <c r="A249" s="56" t="s">
        <v>624</v>
      </c>
      <c r="B249" s="17" t="s">
        <v>625</v>
      </c>
      <c r="C249" s="18" t="s">
        <v>626</v>
      </c>
      <c r="D249" s="19" t="s">
        <v>20</v>
      </c>
      <c r="E249" s="20">
        <v>1</v>
      </c>
      <c r="F249" s="21">
        <v>1218.54</v>
      </c>
      <c r="G249" s="21">
        <f t="shared" si="29"/>
        <v>1602.13</v>
      </c>
      <c r="H249" s="57">
        <f t="shared" si="33"/>
        <v>1602.13</v>
      </c>
      <c r="I249" s="22">
        <f t="shared" si="34"/>
        <v>1218.54</v>
      </c>
      <c r="J249" s="24"/>
    </row>
    <row r="250" spans="1:11" ht="45">
      <c r="A250" s="56" t="s">
        <v>627</v>
      </c>
      <c r="B250" s="17" t="s">
        <v>524</v>
      </c>
      <c r="C250" s="18" t="s">
        <v>629</v>
      </c>
      <c r="D250" s="19" t="s">
        <v>20</v>
      </c>
      <c r="E250" s="20">
        <v>39</v>
      </c>
      <c r="F250" s="21">
        <v>32.08</v>
      </c>
      <c r="G250" s="21">
        <f t="shared" si="29"/>
        <v>42.17</v>
      </c>
      <c r="H250" s="57">
        <f t="shared" si="33"/>
        <v>1644.63</v>
      </c>
      <c r="I250" s="22">
        <f t="shared" si="34"/>
        <v>1251.1199999999999</v>
      </c>
      <c r="J250" s="24"/>
    </row>
    <row r="251" spans="1:11" ht="15">
      <c r="A251" s="56" t="s">
        <v>630</v>
      </c>
      <c r="B251" s="17" t="s">
        <v>631</v>
      </c>
      <c r="C251" s="18" t="s">
        <v>632</v>
      </c>
      <c r="D251" s="19" t="s">
        <v>42</v>
      </c>
      <c r="E251" s="20">
        <v>858</v>
      </c>
      <c r="F251" s="21">
        <v>6.47</v>
      </c>
      <c r="G251" s="21">
        <f t="shared" si="29"/>
        <v>8.5</v>
      </c>
      <c r="H251" s="57">
        <f t="shared" si="33"/>
        <v>7293</v>
      </c>
      <c r="I251" s="22">
        <f t="shared" si="34"/>
        <v>5551.26</v>
      </c>
      <c r="J251" s="24"/>
    </row>
    <row r="252" spans="1:11" ht="45">
      <c r="A252" s="56" t="s">
        <v>633</v>
      </c>
      <c r="B252" s="17" t="s">
        <v>634</v>
      </c>
      <c r="C252" s="18" t="s">
        <v>635</v>
      </c>
      <c r="D252" s="19" t="s">
        <v>20</v>
      </c>
      <c r="E252" s="20">
        <v>1</v>
      </c>
      <c r="F252" s="21">
        <v>1091.6600000000001</v>
      </c>
      <c r="G252" s="21">
        <f t="shared" si="29"/>
        <v>1435.31</v>
      </c>
      <c r="H252" s="57">
        <f t="shared" si="33"/>
        <v>1435.31</v>
      </c>
      <c r="I252" s="22">
        <f t="shared" si="34"/>
        <v>1091.6600000000001</v>
      </c>
      <c r="J252" s="24"/>
    </row>
    <row r="253" spans="1:11" ht="15">
      <c r="A253" s="54" t="s">
        <v>636</v>
      </c>
      <c r="B253" s="10"/>
      <c r="C253" s="11" t="s">
        <v>637</v>
      </c>
      <c r="D253" s="12"/>
      <c r="E253" s="13">
        <v>0</v>
      </c>
      <c r="F253" s="23">
        <v>0</v>
      </c>
      <c r="G253" s="14">
        <f t="shared" si="29"/>
        <v>0</v>
      </c>
      <c r="H253" s="55">
        <f>SUM(H254:H254)</f>
        <v>104174.58</v>
      </c>
      <c r="I253" s="22"/>
      <c r="J253" s="24"/>
    </row>
    <row r="254" spans="1:11" ht="15">
      <c r="A254" s="56" t="s">
        <v>638</v>
      </c>
      <c r="B254" s="17" t="s">
        <v>208</v>
      </c>
      <c r="C254" s="18" t="s">
        <v>637</v>
      </c>
      <c r="D254" s="19" t="s">
        <v>640</v>
      </c>
      <c r="E254" s="20">
        <v>6</v>
      </c>
      <c r="F254" s="21">
        <v>13205.38</v>
      </c>
      <c r="G254" s="21">
        <f t="shared" si="29"/>
        <v>17362.43</v>
      </c>
      <c r="H254" s="57">
        <f>TRUNC(E254*G254,2)</f>
        <v>104174.58</v>
      </c>
      <c r="I254" s="22">
        <f>E254*F254</f>
        <v>79232.28</v>
      </c>
      <c r="J254" s="24"/>
    </row>
    <row r="255" spans="1:11" ht="35.25" customHeight="1">
      <c r="A255" s="148" t="s">
        <v>641</v>
      </c>
      <c r="B255" s="149"/>
      <c r="C255" s="149"/>
      <c r="D255" s="149"/>
      <c r="E255" s="149"/>
      <c r="F255" s="149"/>
      <c r="G255" s="149"/>
      <c r="H255" s="60">
        <f>SUM(H14:H254)/2</f>
        <v>1182921.1499999999</v>
      </c>
      <c r="I255" s="34">
        <f>SUM(I16:I254)</f>
        <v>897076.4764800003</v>
      </c>
      <c r="K255" s="35"/>
    </row>
    <row r="256" spans="1:11" ht="14.1" customHeight="1">
      <c r="A256" s="61"/>
      <c r="B256" s="36"/>
      <c r="C256" s="36"/>
      <c r="D256" s="37"/>
      <c r="E256" s="37"/>
      <c r="F256" s="37"/>
      <c r="G256" s="37"/>
      <c r="H256" s="62"/>
      <c r="I256" s="38">
        <f>I255*0.3%</f>
        <v>2691.2294294400008</v>
      </c>
    </row>
    <row r="257" spans="1:12" ht="14.1" customHeight="1">
      <c r="A257" s="61"/>
      <c r="B257" s="36"/>
      <c r="C257" s="36"/>
      <c r="D257" s="37"/>
      <c r="E257" s="37"/>
      <c r="F257" s="37"/>
      <c r="G257" s="37"/>
      <c r="H257" s="62"/>
    </row>
    <row r="258" spans="1:12" ht="14.25" customHeight="1">
      <c r="A258" s="63"/>
      <c r="B258" s="39"/>
      <c r="C258" s="39"/>
      <c r="D258" s="40"/>
      <c r="E258" s="40"/>
      <c r="F258" s="40"/>
      <c r="G258" s="40"/>
      <c r="H258" s="64"/>
    </row>
    <row r="259" spans="1:12">
      <c r="A259" s="63"/>
      <c r="B259" s="39"/>
      <c r="C259" s="39"/>
      <c r="D259" s="40"/>
      <c r="E259" s="40"/>
      <c r="F259" s="40"/>
      <c r="G259" s="40"/>
      <c r="H259" s="64"/>
    </row>
    <row r="260" spans="1:12" ht="19.5" customHeight="1">
      <c r="A260" s="63"/>
      <c r="B260" s="39"/>
      <c r="C260" s="39"/>
      <c r="D260" s="40"/>
      <c r="E260" s="40"/>
      <c r="F260" s="40"/>
      <c r="G260" s="40"/>
      <c r="H260" s="64"/>
    </row>
    <row r="261" spans="1:12" ht="17.25" customHeight="1">
      <c r="A261" s="150" t="s">
        <v>642</v>
      </c>
      <c r="B261" s="151"/>
      <c r="C261" s="151"/>
      <c r="D261" s="151"/>
      <c r="E261" s="151"/>
      <c r="F261" s="151"/>
      <c r="G261" s="151"/>
      <c r="H261" s="152"/>
    </row>
    <row r="262" spans="1:12" ht="12.75" customHeight="1">
      <c r="A262" s="168" t="s">
        <v>643</v>
      </c>
      <c r="B262" s="169"/>
      <c r="C262" s="169"/>
      <c r="D262" s="169"/>
      <c r="E262" s="169"/>
      <c r="F262" s="169"/>
      <c r="G262" s="169"/>
      <c r="H262" s="170"/>
      <c r="K262" s="41"/>
    </row>
    <row r="263" spans="1:12" ht="12.75" customHeight="1">
      <c r="A263" s="65"/>
      <c r="B263" s="42"/>
      <c r="C263" s="42"/>
      <c r="D263" s="42"/>
      <c r="E263" s="42"/>
      <c r="F263" s="42"/>
      <c r="G263" s="42"/>
      <c r="H263" s="66"/>
    </row>
    <row r="264" spans="1:12" ht="15" thickBot="1">
      <c r="A264" s="171"/>
      <c r="B264" s="172"/>
      <c r="C264" s="172"/>
      <c r="D264" s="172"/>
      <c r="E264" s="172"/>
      <c r="F264" s="172"/>
      <c r="G264" s="172"/>
      <c r="H264" s="173"/>
    </row>
    <row r="267" spans="1:12" ht="14.25">
      <c r="C267" s="174"/>
      <c r="D267" s="174"/>
      <c r="E267" s="174"/>
      <c r="F267" s="174"/>
      <c r="G267" s="174"/>
      <c r="H267" s="174"/>
      <c r="K267" s="41"/>
    </row>
    <row r="268" spans="1:12" s="1" customFormat="1" ht="14.25">
      <c r="A268" s="43"/>
      <c r="B268" s="43"/>
      <c r="C268" s="44"/>
      <c r="D268" s="45"/>
      <c r="E268" s="45"/>
      <c r="F268" s="45"/>
      <c r="G268" s="45"/>
      <c r="H268" s="45"/>
      <c r="J268" s="2"/>
      <c r="K268" s="2"/>
      <c r="L268" s="2"/>
    </row>
    <row r="269" spans="1:12" s="1" customFormat="1" ht="14.25">
      <c r="A269" s="43"/>
      <c r="B269" s="43"/>
      <c r="C269" s="174"/>
      <c r="D269" s="174"/>
      <c r="E269" s="174"/>
      <c r="F269" s="174"/>
      <c r="G269" s="174"/>
      <c r="H269" s="174"/>
      <c r="J269" s="2"/>
      <c r="K269" s="2"/>
      <c r="L269" s="2"/>
    </row>
  </sheetData>
  <sheetProtection selectLockedCells="1" selectUnlockedCells="1"/>
  <mergeCells count="22">
    <mergeCell ref="A262:H262"/>
    <mergeCell ref="A264:H264"/>
    <mergeCell ref="C267:H267"/>
    <mergeCell ref="C269:H269"/>
    <mergeCell ref="F9:F10"/>
    <mergeCell ref="G9:G10"/>
    <mergeCell ref="A11:H11"/>
    <mergeCell ref="C13:E13"/>
    <mergeCell ref="H9:H10"/>
    <mergeCell ref="A9:E9"/>
    <mergeCell ref="A10:E10"/>
    <mergeCell ref="C1:H1"/>
    <mergeCell ref="C2:H2"/>
    <mergeCell ref="A1:B2"/>
    <mergeCell ref="A255:G255"/>
    <mergeCell ref="A261:H261"/>
    <mergeCell ref="A3:H3"/>
    <mergeCell ref="A4:H4"/>
    <mergeCell ref="A6:H6"/>
    <mergeCell ref="A7:E7"/>
    <mergeCell ref="F7:H7"/>
    <mergeCell ref="A8:E8"/>
  </mergeCells>
  <printOptions horizontalCentered="1"/>
  <pageMargins left="0.19685039370078741" right="0.19685039370078741" top="0.59055118110236227" bottom="0.59055118110236227" header="0.51181102362204722" footer="0.19685039370078741"/>
  <pageSetup paperSize="9" scale="60" firstPageNumber="0" fitToHeight="12" orientation="portrait" horizontalDpi="300" verticalDpi="300" r:id="rId1"/>
  <headerFooter alignWithMargins="0">
    <oddFooter>&amp;CPágina &amp;P de &amp;N</oddFooter>
  </headerFooter>
  <rowBreaks count="2" manualBreakCount="2">
    <brk id="87" max="7" man="1"/>
    <brk id="221" max="7" man="1"/>
  </rowBreaks>
  <drawing r:id="rId2"/>
</worksheet>
</file>

<file path=xl/worksheets/sheet2.xml><?xml version="1.0" encoding="utf-8"?>
<worksheet xmlns="http://schemas.openxmlformats.org/spreadsheetml/2006/main" xmlns:r="http://schemas.openxmlformats.org/officeDocument/2006/relationships">
  <dimension ref="A1:IL65"/>
  <sheetViews>
    <sheetView topLeftCell="A16" workbookViewId="0">
      <selection activeCell="Q41" sqref="Q40:Q41"/>
    </sheetView>
  </sheetViews>
  <sheetFormatPr defaultRowHeight="15"/>
  <cols>
    <col min="1" max="1" width="5.42578125" style="68" bestFit="1" customWidth="1"/>
    <col min="2" max="2" width="44.140625" style="68" bestFit="1" customWidth="1"/>
    <col min="3" max="3" width="13.140625" style="68" customWidth="1"/>
    <col min="4" max="4" width="12.5703125" style="68" customWidth="1"/>
    <col min="5" max="10" width="10.42578125" style="68" customWidth="1"/>
    <col min="11" max="246" width="9.140625" style="68"/>
  </cols>
  <sheetData>
    <row r="1" spans="1:10" ht="27.75" customHeight="1">
      <c r="A1" s="185" t="s">
        <v>652</v>
      </c>
      <c r="B1" s="186"/>
      <c r="C1" s="186"/>
      <c r="D1" s="186"/>
      <c r="E1" s="186"/>
      <c r="F1" s="186"/>
      <c r="G1" s="186"/>
      <c r="H1" s="186"/>
      <c r="I1" s="186"/>
      <c r="J1" s="187"/>
    </row>
    <row r="2" spans="1:10" ht="19.5" customHeight="1">
      <c r="A2" s="188" t="str">
        <f>'[5]ORÇAMENTARIA GERAL'!A6:E6</f>
        <v>OBRA: REFORMA DA UNIDADE BÁSICA DE SAÚDE SOLARIUM</v>
      </c>
      <c r="B2" s="189"/>
      <c r="C2" s="189"/>
      <c r="D2" s="189"/>
      <c r="E2" s="189"/>
      <c r="F2" s="189"/>
      <c r="G2" s="189"/>
      <c r="H2" s="189"/>
      <c r="I2" s="189"/>
      <c r="J2" s="190"/>
    </row>
    <row r="3" spans="1:10" ht="19.5" customHeight="1">
      <c r="A3" s="188" t="str">
        <f>'[5]ORÇAMENTARIA GERAL'!A5:H5</f>
        <v>CONTRATANTE: PREFEITURA MUNICIPAL DE LAGOA SANTA</v>
      </c>
      <c r="B3" s="189"/>
      <c r="C3" s="189"/>
      <c r="D3" s="189"/>
      <c r="E3" s="189"/>
      <c r="F3" s="189"/>
      <c r="G3" s="189"/>
      <c r="H3" s="189"/>
      <c r="I3" s="189"/>
      <c r="J3" s="190"/>
    </row>
    <row r="4" spans="1:10" ht="25.5">
      <c r="A4" s="96" t="s">
        <v>5</v>
      </c>
      <c r="B4" s="93" t="s">
        <v>653</v>
      </c>
      <c r="C4" s="94" t="s">
        <v>654</v>
      </c>
      <c r="D4" s="95" t="s">
        <v>655</v>
      </c>
      <c r="E4" s="93" t="s">
        <v>656</v>
      </c>
      <c r="F4" s="93" t="s">
        <v>657</v>
      </c>
      <c r="G4" s="93" t="s">
        <v>658</v>
      </c>
      <c r="H4" s="93" t="s">
        <v>659</v>
      </c>
      <c r="I4" s="93" t="s">
        <v>660</v>
      </c>
      <c r="J4" s="97" t="s">
        <v>661</v>
      </c>
    </row>
    <row r="5" spans="1:10">
      <c r="A5" s="183" t="s">
        <v>662</v>
      </c>
      <c r="B5" s="184" t="str">
        <f>'[5]ORÇAMENTARIA GERAL'!C13</f>
        <v>SERVIÇOS PRELIMINARES</v>
      </c>
      <c r="C5" s="69">
        <f>C6/$C$48</f>
        <v>8.4642683073170161E-2</v>
      </c>
      <c r="D5" s="70">
        <f t="shared" ref="D5:D48" si="0">SUM(E5:J5)</f>
        <v>0.99999999999999978</v>
      </c>
      <c r="E5" s="71">
        <v>0.5</v>
      </c>
      <c r="F5" s="72">
        <v>0.08</v>
      </c>
      <c r="G5" s="72">
        <v>0.08</v>
      </c>
      <c r="H5" s="72">
        <v>0.08</v>
      </c>
      <c r="I5" s="71">
        <v>0.08</v>
      </c>
      <c r="J5" s="86">
        <v>0.18</v>
      </c>
    </row>
    <row r="6" spans="1:10">
      <c r="A6" s="183"/>
      <c r="B6" s="184"/>
      <c r="C6" s="73">
        <f>'ORÇAMENTARIA- Atualizada Breno'!H14</f>
        <v>100125.62</v>
      </c>
      <c r="D6" s="74">
        <f t="shared" si="0"/>
        <v>100125.62</v>
      </c>
      <c r="E6" s="74">
        <f t="shared" ref="E6:J6" si="1">E5*$C6</f>
        <v>50062.81</v>
      </c>
      <c r="F6" s="74">
        <f t="shared" si="1"/>
        <v>8010.0495999999994</v>
      </c>
      <c r="G6" s="74">
        <f t="shared" si="1"/>
        <v>8010.0495999999994</v>
      </c>
      <c r="H6" s="74">
        <f t="shared" si="1"/>
        <v>8010.0495999999994</v>
      </c>
      <c r="I6" s="74">
        <f t="shared" si="1"/>
        <v>8010.0495999999994</v>
      </c>
      <c r="J6" s="87">
        <f t="shared" si="1"/>
        <v>18022.6116</v>
      </c>
    </row>
    <row r="7" spans="1:10">
      <c r="A7" s="183" t="s">
        <v>663</v>
      </c>
      <c r="B7" s="184" t="str">
        <f>'[5]ORÇAMENTARIA GERAL'!C29</f>
        <v xml:space="preserve">LOCAÇÃO DE OBRA  </v>
      </c>
      <c r="C7" s="69">
        <f>C8/$C$48</f>
        <v>3.3136612698149827E-3</v>
      </c>
      <c r="D7" s="70">
        <f t="shared" si="0"/>
        <v>1</v>
      </c>
      <c r="E7" s="71"/>
      <c r="F7" s="72">
        <v>1</v>
      </c>
      <c r="G7" s="72"/>
      <c r="H7" s="72"/>
      <c r="I7" s="71"/>
      <c r="J7" s="86"/>
    </row>
    <row r="8" spans="1:10">
      <c r="A8" s="183"/>
      <c r="B8" s="184"/>
      <c r="C8" s="73">
        <f>'ORÇAMENTARIA- Atualizada Breno'!H24</f>
        <v>3919.8</v>
      </c>
      <c r="D8" s="74">
        <f t="shared" si="0"/>
        <v>3919.8</v>
      </c>
      <c r="E8" s="74"/>
      <c r="F8" s="74">
        <f t="shared" ref="F8" si="2">F7*$C8</f>
        <v>3919.8</v>
      </c>
      <c r="G8" s="74"/>
      <c r="H8" s="74"/>
      <c r="I8" s="74"/>
      <c r="J8" s="87"/>
    </row>
    <row r="9" spans="1:10">
      <c r="A9" s="183" t="s">
        <v>664</v>
      </c>
      <c r="B9" s="184" t="str">
        <f>'[5]ORÇAMENTARIA GERAL'!C31</f>
        <v>DEMOLIÇÕES E REMOÇÕES</v>
      </c>
      <c r="C9" s="69">
        <f>C10/$C$48</f>
        <v>3.2490195986435773E-2</v>
      </c>
      <c r="D9" s="70">
        <f t="shared" si="0"/>
        <v>1</v>
      </c>
      <c r="E9" s="71">
        <v>0.6</v>
      </c>
      <c r="F9" s="72"/>
      <c r="G9" s="72"/>
      <c r="H9" s="72">
        <v>0.15</v>
      </c>
      <c r="I9" s="71">
        <v>0.15</v>
      </c>
      <c r="J9" s="86">
        <v>0.1</v>
      </c>
    </row>
    <row r="10" spans="1:10">
      <c r="A10" s="183"/>
      <c r="B10" s="184"/>
      <c r="C10" s="73">
        <f>'ORÇAMENTARIA- Atualizada Breno'!H26</f>
        <v>38433.339999999997</v>
      </c>
      <c r="D10" s="74">
        <f t="shared" si="0"/>
        <v>38433.339999999997</v>
      </c>
      <c r="E10" s="74">
        <f t="shared" ref="E10:J10" si="3">E9*$C10</f>
        <v>23060.003999999997</v>
      </c>
      <c r="F10" s="74"/>
      <c r="G10" s="74"/>
      <c r="H10" s="74">
        <f t="shared" si="3"/>
        <v>5765.0009999999993</v>
      </c>
      <c r="I10" s="74">
        <f t="shared" si="3"/>
        <v>5765.0009999999993</v>
      </c>
      <c r="J10" s="87">
        <f t="shared" si="3"/>
        <v>3843.3339999999998</v>
      </c>
    </row>
    <row r="11" spans="1:10">
      <c r="A11" s="183" t="s">
        <v>665</v>
      </c>
      <c r="B11" s="184" t="str">
        <f>'[5]ORÇAMENTARIA GERAL'!C53</f>
        <v>FUNDAÇÕES</v>
      </c>
      <c r="C11" s="69">
        <f>C12/$C$48</f>
        <v>3.3830006336432475E-2</v>
      </c>
      <c r="D11" s="70">
        <f t="shared" si="0"/>
        <v>0.99999999999999989</v>
      </c>
      <c r="E11" s="71"/>
      <c r="F11" s="72">
        <v>0.6</v>
      </c>
      <c r="G11" s="72">
        <v>0.3</v>
      </c>
      <c r="H11" s="72">
        <v>0.1</v>
      </c>
      <c r="I11" s="71"/>
      <c r="J11" s="86"/>
    </row>
    <row r="12" spans="1:10">
      <c r="A12" s="183"/>
      <c r="B12" s="184"/>
      <c r="C12" s="73">
        <f>'ORÇAMENTARIA- Atualizada Breno'!H48</f>
        <v>40018.229999999996</v>
      </c>
      <c r="D12" s="74">
        <f t="shared" si="0"/>
        <v>40018.229999999996</v>
      </c>
      <c r="E12" s="74"/>
      <c r="F12" s="74">
        <f t="shared" ref="F12:H12" si="4">F11*$C12</f>
        <v>24010.937999999998</v>
      </c>
      <c r="G12" s="74">
        <f t="shared" si="4"/>
        <v>12005.468999999999</v>
      </c>
      <c r="H12" s="74">
        <f t="shared" si="4"/>
        <v>4001.8229999999999</v>
      </c>
      <c r="I12" s="74"/>
      <c r="J12" s="87"/>
    </row>
    <row r="13" spans="1:10">
      <c r="A13" s="183" t="s">
        <v>666</v>
      </c>
      <c r="B13" s="184" t="str">
        <f>'[5]ORÇAMENTARIA GERAL'!C71</f>
        <v>ESTRUTURA</v>
      </c>
      <c r="C13" s="69">
        <f>C14/$C$48</f>
        <v>5.437344661560916E-2</v>
      </c>
      <c r="D13" s="70">
        <f t="shared" si="0"/>
        <v>1</v>
      </c>
      <c r="E13" s="71"/>
      <c r="F13" s="72">
        <v>0.5</v>
      </c>
      <c r="G13" s="72">
        <v>0.3</v>
      </c>
      <c r="H13" s="72">
        <v>0.15</v>
      </c>
      <c r="I13" s="71">
        <v>0.05</v>
      </c>
      <c r="J13" s="86"/>
    </row>
    <row r="14" spans="1:10">
      <c r="A14" s="183"/>
      <c r="B14" s="184"/>
      <c r="C14" s="73">
        <f>'ORÇAMENTARIA- Atualizada Breno'!H66</f>
        <v>64319.5</v>
      </c>
      <c r="D14" s="74">
        <f t="shared" si="0"/>
        <v>64319.499999999993</v>
      </c>
      <c r="E14" s="74"/>
      <c r="F14" s="74">
        <f t="shared" ref="F14:I14" si="5">F13*$C14</f>
        <v>32159.75</v>
      </c>
      <c r="G14" s="74">
        <f t="shared" si="5"/>
        <v>19295.849999999999</v>
      </c>
      <c r="H14" s="74">
        <f t="shared" si="5"/>
        <v>9647.9249999999993</v>
      </c>
      <c r="I14" s="74">
        <f t="shared" si="5"/>
        <v>3215.9750000000004</v>
      </c>
      <c r="J14" s="87"/>
    </row>
    <row r="15" spans="1:10">
      <c r="A15" s="183" t="s">
        <v>667</v>
      </c>
      <c r="B15" s="184" t="str">
        <f>'[5]ORÇAMENTARIA GERAL'!C78</f>
        <v>ALVENARIA</v>
      </c>
      <c r="C15" s="69">
        <f>C16/$C$48</f>
        <v>3.4161499268146489E-2</v>
      </c>
      <c r="D15" s="70">
        <f t="shared" si="0"/>
        <v>1</v>
      </c>
      <c r="E15" s="71"/>
      <c r="F15" s="72">
        <v>0.2</v>
      </c>
      <c r="G15" s="72">
        <v>0.45</v>
      </c>
      <c r="H15" s="72">
        <v>0.15</v>
      </c>
      <c r="I15" s="71">
        <v>0.2</v>
      </c>
      <c r="J15" s="86"/>
    </row>
    <row r="16" spans="1:10">
      <c r="A16" s="183"/>
      <c r="B16" s="184"/>
      <c r="C16" s="73">
        <f>'ORÇAMENTARIA- Atualizada Breno'!H73</f>
        <v>40410.360000000008</v>
      </c>
      <c r="D16" s="74">
        <f t="shared" si="0"/>
        <v>40410.360000000008</v>
      </c>
      <c r="E16" s="74"/>
      <c r="F16" s="74">
        <f t="shared" ref="F16:I16" si="6">F15*$C16</f>
        <v>8082.0720000000019</v>
      </c>
      <c r="G16" s="74">
        <f t="shared" si="6"/>
        <v>18184.662000000004</v>
      </c>
      <c r="H16" s="74">
        <f t="shared" si="6"/>
        <v>6061.554000000001</v>
      </c>
      <c r="I16" s="74">
        <f t="shared" si="6"/>
        <v>8082.0720000000019</v>
      </c>
      <c r="J16" s="87"/>
    </row>
    <row r="17" spans="1:10">
      <c r="A17" s="183" t="s">
        <v>668</v>
      </c>
      <c r="B17" s="184" t="str">
        <f>'[5]ORÇAMENTARIA GERAL'!C84</f>
        <v>PISOS  E RODAPÉS</v>
      </c>
      <c r="C17" s="69">
        <f>C18/$C$48</f>
        <v>8.1852649265760441E-2</v>
      </c>
      <c r="D17" s="70">
        <f t="shared" si="0"/>
        <v>1</v>
      </c>
      <c r="E17" s="71"/>
      <c r="F17" s="72"/>
      <c r="G17" s="72">
        <v>0.3</v>
      </c>
      <c r="H17" s="72">
        <v>0.4</v>
      </c>
      <c r="I17" s="71">
        <v>0.3</v>
      </c>
      <c r="J17" s="86"/>
    </row>
    <row r="18" spans="1:10">
      <c r="A18" s="183"/>
      <c r="B18" s="184"/>
      <c r="C18" s="73">
        <f>'ORÇAMENTARIA- Atualizada Breno'!H79</f>
        <v>96825.23000000001</v>
      </c>
      <c r="D18" s="74">
        <f t="shared" si="0"/>
        <v>96825.23000000001</v>
      </c>
      <c r="E18" s="74"/>
      <c r="F18" s="74"/>
      <c r="G18" s="74">
        <f t="shared" ref="G18:I18" si="7">G17*$C18</f>
        <v>29047.569000000003</v>
      </c>
      <c r="H18" s="74">
        <f t="shared" si="7"/>
        <v>38730.092000000004</v>
      </c>
      <c r="I18" s="74">
        <f t="shared" si="7"/>
        <v>29047.569000000003</v>
      </c>
      <c r="J18" s="87"/>
    </row>
    <row r="19" spans="1:10">
      <c r="A19" s="183" t="s">
        <v>669</v>
      </c>
      <c r="B19" s="184" t="str">
        <f>'[5]ORÇAMENTARIA GERAL'!C93</f>
        <v>REVESTIMENTO DE PAREDES</v>
      </c>
      <c r="C19" s="69">
        <f>C20/$C$48</f>
        <v>6.5555916385466595E-2</v>
      </c>
      <c r="D19" s="70">
        <f t="shared" si="0"/>
        <v>1</v>
      </c>
      <c r="E19" s="71"/>
      <c r="F19" s="72"/>
      <c r="G19" s="72">
        <v>0.3</v>
      </c>
      <c r="H19" s="72">
        <v>0.4</v>
      </c>
      <c r="I19" s="71">
        <v>0.3</v>
      </c>
      <c r="J19" s="86"/>
    </row>
    <row r="20" spans="1:10">
      <c r="A20" s="183"/>
      <c r="B20" s="184"/>
      <c r="C20" s="73">
        <f>'ORÇAMENTARIA- Atualizada Breno'!H88</f>
        <v>77547.48</v>
      </c>
      <c r="D20" s="74">
        <f t="shared" si="0"/>
        <v>77547.48</v>
      </c>
      <c r="E20" s="74"/>
      <c r="F20" s="74"/>
      <c r="G20" s="74">
        <f t="shared" ref="G20:I20" si="8">G19*$C20</f>
        <v>23264.243999999999</v>
      </c>
      <c r="H20" s="74">
        <f t="shared" si="8"/>
        <v>31018.991999999998</v>
      </c>
      <c r="I20" s="74">
        <f t="shared" si="8"/>
        <v>23264.243999999999</v>
      </c>
      <c r="J20" s="87"/>
    </row>
    <row r="21" spans="1:10">
      <c r="A21" s="183" t="s">
        <v>670</v>
      </c>
      <c r="B21" s="184" t="str">
        <f>'[5]ORÇAMENTARIA GERAL'!C99</f>
        <v>REVESTIMENTO DE TETOS</v>
      </c>
      <c r="C21" s="69">
        <f>C22/$C$48</f>
        <v>6.6483890325234269E-3</v>
      </c>
      <c r="D21" s="70">
        <f t="shared" si="0"/>
        <v>1</v>
      </c>
      <c r="E21" s="71"/>
      <c r="F21" s="72"/>
      <c r="G21" s="72"/>
      <c r="H21" s="72">
        <v>0.4</v>
      </c>
      <c r="I21" s="71">
        <v>0.5</v>
      </c>
      <c r="J21" s="86">
        <v>0.1</v>
      </c>
    </row>
    <row r="22" spans="1:10">
      <c r="A22" s="183"/>
      <c r="B22" s="184"/>
      <c r="C22" s="73">
        <f>'ORÇAMENTARIA- Atualizada Breno'!H94</f>
        <v>7864.52</v>
      </c>
      <c r="D22" s="74">
        <f t="shared" si="0"/>
        <v>7864.5200000000013</v>
      </c>
      <c r="E22" s="74"/>
      <c r="F22" s="74"/>
      <c r="G22" s="74"/>
      <c r="H22" s="74">
        <f t="shared" ref="H22:J22" si="9">H21*$C22</f>
        <v>3145.8080000000004</v>
      </c>
      <c r="I22" s="74">
        <f t="shared" si="9"/>
        <v>3932.26</v>
      </c>
      <c r="J22" s="87">
        <f t="shared" si="9"/>
        <v>786.45200000000011</v>
      </c>
    </row>
    <row r="23" spans="1:10">
      <c r="A23" s="183" t="s">
        <v>671</v>
      </c>
      <c r="B23" s="184" t="str">
        <f>'[5]ORÇAMENTARIA GERAL'!C102</f>
        <v>ESQUADRIAS</v>
      </c>
      <c r="C23" s="69">
        <f>C24/$C$48</f>
        <v>6.5177970653411674E-2</v>
      </c>
      <c r="D23" s="70">
        <f t="shared" si="0"/>
        <v>1</v>
      </c>
      <c r="E23" s="71"/>
      <c r="F23" s="72"/>
      <c r="G23" s="72"/>
      <c r="H23" s="72">
        <v>0.35</v>
      </c>
      <c r="I23" s="71">
        <v>0.35</v>
      </c>
      <c r="J23" s="86">
        <v>0.3</v>
      </c>
    </row>
    <row r="24" spans="1:10">
      <c r="A24" s="183"/>
      <c r="B24" s="184"/>
      <c r="C24" s="73">
        <f>'ORÇAMENTARIA- Atualizada Breno'!H97</f>
        <v>77100.399999999994</v>
      </c>
      <c r="D24" s="74">
        <f t="shared" si="0"/>
        <v>77100.399999999994</v>
      </c>
      <c r="E24" s="74"/>
      <c r="F24" s="74"/>
      <c r="G24" s="74"/>
      <c r="H24" s="74">
        <f t="shared" ref="H24:J24" si="10">H23*$C24</f>
        <v>26985.139999999996</v>
      </c>
      <c r="I24" s="74">
        <f t="shared" si="10"/>
        <v>26985.139999999996</v>
      </c>
      <c r="J24" s="87">
        <f t="shared" si="10"/>
        <v>23130.12</v>
      </c>
    </row>
    <row r="25" spans="1:10">
      <c r="A25" s="183" t="s">
        <v>672</v>
      </c>
      <c r="B25" s="184" t="str">
        <f>'[5]ORÇAMENTARIA GERAL'!C119</f>
        <v>DIVISÓRIAS</v>
      </c>
      <c r="C25" s="69">
        <f>C26/$C$48</f>
        <v>3.1579898626379277E-2</v>
      </c>
      <c r="D25" s="70">
        <f t="shared" si="0"/>
        <v>1</v>
      </c>
      <c r="E25" s="71"/>
      <c r="F25" s="72"/>
      <c r="G25" s="72"/>
      <c r="H25" s="72">
        <v>0.5</v>
      </c>
      <c r="I25" s="71">
        <v>0.5</v>
      </c>
      <c r="J25" s="86"/>
    </row>
    <row r="26" spans="1:10">
      <c r="A26" s="183"/>
      <c r="B26" s="184"/>
      <c r="C26" s="73">
        <f>'ORÇAMENTARIA- Atualizada Breno'!H114</f>
        <v>37356.53</v>
      </c>
      <c r="D26" s="74">
        <f t="shared" si="0"/>
        <v>37356.53</v>
      </c>
      <c r="E26" s="74"/>
      <c r="F26" s="74"/>
      <c r="G26" s="74"/>
      <c r="H26" s="74">
        <f t="shared" ref="H26:I26" si="11">H25*$C26</f>
        <v>18678.264999999999</v>
      </c>
      <c r="I26" s="74">
        <f t="shared" si="11"/>
        <v>18678.264999999999</v>
      </c>
      <c r="J26" s="87"/>
    </row>
    <row r="27" spans="1:10">
      <c r="A27" s="183" t="s">
        <v>673</v>
      </c>
      <c r="B27" s="184" t="str">
        <f>'[5]ORÇAMENTARIA GERAL'!C127</f>
        <v>PINTURA</v>
      </c>
      <c r="C27" s="69">
        <f>C28/$C$48</f>
        <v>8.6183952328521635E-2</v>
      </c>
      <c r="D27" s="70">
        <f t="shared" si="0"/>
        <v>1</v>
      </c>
      <c r="E27" s="71"/>
      <c r="F27" s="72"/>
      <c r="G27" s="72">
        <v>0.2</v>
      </c>
      <c r="H27" s="72">
        <v>0.2</v>
      </c>
      <c r="I27" s="71">
        <v>0.2</v>
      </c>
      <c r="J27" s="86">
        <v>0.4</v>
      </c>
    </row>
    <row r="28" spans="1:10">
      <c r="A28" s="183"/>
      <c r="B28" s="184"/>
      <c r="C28" s="73">
        <f>'ORÇAMENTARIA- Atualizada Breno'!H122</f>
        <v>101948.82</v>
      </c>
      <c r="D28" s="74">
        <f t="shared" si="0"/>
        <v>101948.82</v>
      </c>
      <c r="E28" s="74"/>
      <c r="F28" s="74"/>
      <c r="G28" s="74">
        <f t="shared" ref="G28:J28" si="12">G27*$C28</f>
        <v>20389.764000000003</v>
      </c>
      <c r="H28" s="74">
        <f t="shared" si="12"/>
        <v>20389.764000000003</v>
      </c>
      <c r="I28" s="74">
        <f t="shared" si="12"/>
        <v>20389.764000000003</v>
      </c>
      <c r="J28" s="87">
        <f t="shared" si="12"/>
        <v>40779.528000000006</v>
      </c>
    </row>
    <row r="29" spans="1:10">
      <c r="A29" s="183" t="s">
        <v>674</v>
      </c>
      <c r="B29" s="191" t="str">
        <f>'[5]ORÇAMENTARIA GERAL'!C146</f>
        <v>INSTALAÇÕES HIDROSSANITÁRIAS E PLUVIAIS</v>
      </c>
      <c r="C29" s="69">
        <f>C30/$C$48</f>
        <v>2.3888219430348336E-2</v>
      </c>
      <c r="D29" s="70">
        <f t="shared" si="0"/>
        <v>1</v>
      </c>
      <c r="E29" s="71"/>
      <c r="F29" s="72"/>
      <c r="G29" s="72">
        <v>0.25</v>
      </c>
      <c r="H29" s="72">
        <v>0.25</v>
      </c>
      <c r="I29" s="71">
        <v>0.4</v>
      </c>
      <c r="J29" s="86">
        <v>0.1</v>
      </c>
    </row>
    <row r="30" spans="1:10">
      <c r="A30" s="183"/>
      <c r="B30" s="191"/>
      <c r="C30" s="73">
        <f>'ORÇAMENTARIA- Atualizada Breno'!H141</f>
        <v>28257.88</v>
      </c>
      <c r="D30" s="74">
        <f t="shared" si="0"/>
        <v>28257.880000000005</v>
      </c>
      <c r="E30" s="74"/>
      <c r="F30" s="74"/>
      <c r="G30" s="74">
        <f t="shared" ref="G30:J30" si="13">G29*$C30</f>
        <v>7064.47</v>
      </c>
      <c r="H30" s="74">
        <f t="shared" si="13"/>
        <v>7064.47</v>
      </c>
      <c r="I30" s="74">
        <f t="shared" si="13"/>
        <v>11303.152000000002</v>
      </c>
      <c r="J30" s="87">
        <f t="shared" si="13"/>
        <v>2825.7880000000005</v>
      </c>
    </row>
    <row r="31" spans="1:10">
      <c r="A31" s="183" t="s">
        <v>675</v>
      </c>
      <c r="B31" s="191" t="str">
        <f>'[5]ORÇAMENTARIA GERAL'!C176</f>
        <v>INSTALAÇÕES ELÉTRICAS</v>
      </c>
      <c r="C31" s="69">
        <f>C32/$C$48</f>
        <v>1.0048497315311338E-2</v>
      </c>
      <c r="D31" s="70">
        <f t="shared" si="0"/>
        <v>1.0000000000000002</v>
      </c>
      <c r="E31" s="71"/>
      <c r="F31" s="72">
        <v>0.1</v>
      </c>
      <c r="G31" s="72">
        <v>0.2</v>
      </c>
      <c r="H31" s="72">
        <v>0.3</v>
      </c>
      <c r="I31" s="71">
        <v>0.3</v>
      </c>
      <c r="J31" s="86">
        <v>0.1</v>
      </c>
    </row>
    <row r="32" spans="1:10">
      <c r="A32" s="183"/>
      <c r="B32" s="191"/>
      <c r="C32" s="73">
        <f>'ORÇAMENTARIA- Atualizada Breno'!H171</f>
        <v>11886.580000000002</v>
      </c>
      <c r="D32" s="74">
        <f t="shared" si="0"/>
        <v>11886.58</v>
      </c>
      <c r="E32" s="77"/>
      <c r="F32" s="77">
        <f t="shared" ref="F32:J34" si="14">F31*$C32</f>
        <v>1188.6580000000001</v>
      </c>
      <c r="G32" s="77">
        <f t="shared" si="14"/>
        <v>2377.3160000000003</v>
      </c>
      <c r="H32" s="77">
        <f t="shared" si="14"/>
        <v>3565.9740000000006</v>
      </c>
      <c r="I32" s="77">
        <f t="shared" si="14"/>
        <v>3565.9740000000006</v>
      </c>
      <c r="J32" s="88">
        <f t="shared" si="14"/>
        <v>1188.6580000000001</v>
      </c>
    </row>
    <row r="33" spans="1:10">
      <c r="A33" s="183" t="s">
        <v>676</v>
      </c>
      <c r="B33" s="191" t="str">
        <f>'[5]ORÇAMENTARIA GERAL'!C187</f>
        <v>COBERTURA</v>
      </c>
      <c r="C33" s="69">
        <f>C34/$C$48</f>
        <v>0.15788246748314541</v>
      </c>
      <c r="D33" s="70">
        <f t="shared" si="0"/>
        <v>1</v>
      </c>
      <c r="E33" s="71"/>
      <c r="F33" s="72">
        <v>0.4</v>
      </c>
      <c r="G33" s="72">
        <v>0.4</v>
      </c>
      <c r="H33" s="72">
        <v>0.2</v>
      </c>
      <c r="I33" s="71"/>
      <c r="J33" s="86"/>
    </row>
    <row r="34" spans="1:10">
      <c r="A34" s="183"/>
      <c r="B34" s="191"/>
      <c r="C34" s="73">
        <f>'ORÇAMENTARIA- Atualizada Breno'!H182</f>
        <v>186762.51</v>
      </c>
      <c r="D34" s="74">
        <f t="shared" si="0"/>
        <v>186762.51</v>
      </c>
      <c r="E34" s="77"/>
      <c r="F34" s="77">
        <f t="shared" si="14"/>
        <v>74705.004000000001</v>
      </c>
      <c r="G34" s="77">
        <f t="shared" si="14"/>
        <v>74705.004000000001</v>
      </c>
      <c r="H34" s="77">
        <f t="shared" ref="H34" si="15">H33*$C34</f>
        <v>37352.502</v>
      </c>
      <c r="I34" s="77"/>
      <c r="J34" s="88"/>
    </row>
    <row r="35" spans="1:10">
      <c r="A35" s="183" t="s">
        <v>677</v>
      </c>
      <c r="B35" s="191" t="str">
        <f>'[5]ORÇAMENTARIA GERAL'!C198</f>
        <v>SOLEIRAS, PEITORIS E BANCADAS</v>
      </c>
      <c r="C35" s="69">
        <f>C36/$C$48</f>
        <v>1.7853954170994404E-2</v>
      </c>
      <c r="D35" s="70">
        <f t="shared" si="0"/>
        <v>1</v>
      </c>
      <c r="E35" s="71"/>
      <c r="F35" s="72"/>
      <c r="G35" s="72"/>
      <c r="H35" s="72">
        <v>0.3</v>
      </c>
      <c r="I35" s="71">
        <v>0.5</v>
      </c>
      <c r="J35" s="86">
        <v>0.2</v>
      </c>
    </row>
    <row r="36" spans="1:10">
      <c r="A36" s="183"/>
      <c r="B36" s="191"/>
      <c r="C36" s="73">
        <f>'ORÇAMENTARIA- Atualizada Breno'!H193</f>
        <v>21119.82</v>
      </c>
      <c r="D36" s="74">
        <f t="shared" si="0"/>
        <v>21119.82</v>
      </c>
      <c r="E36" s="77"/>
      <c r="F36" s="77"/>
      <c r="G36" s="77"/>
      <c r="H36" s="77">
        <f t="shared" ref="H36:J36" si="16">H35*$C36</f>
        <v>6335.9459999999999</v>
      </c>
      <c r="I36" s="77">
        <f t="shared" si="16"/>
        <v>10559.91</v>
      </c>
      <c r="J36" s="88">
        <f t="shared" si="16"/>
        <v>4223.9639999999999</v>
      </c>
    </row>
    <row r="37" spans="1:10">
      <c r="A37" s="183" t="s">
        <v>678</v>
      </c>
      <c r="B37" s="191" t="str">
        <f>'[5]ORÇAMENTARIA GERAL'!C206</f>
        <v>LOUÇAS, METAIS E ACESSÓRIOS</v>
      </c>
      <c r="C37" s="69">
        <f>C38/$C$48</f>
        <v>3.9065148171541268E-2</v>
      </c>
      <c r="D37" s="70">
        <f t="shared" si="0"/>
        <v>1</v>
      </c>
      <c r="E37" s="71"/>
      <c r="F37" s="72"/>
      <c r="G37" s="72"/>
      <c r="H37" s="72">
        <v>0.15</v>
      </c>
      <c r="I37" s="71">
        <v>0.4</v>
      </c>
      <c r="J37" s="86">
        <v>0.45</v>
      </c>
    </row>
    <row r="38" spans="1:10">
      <c r="A38" s="183"/>
      <c r="B38" s="191"/>
      <c r="C38" s="73">
        <f>'ORÇAMENTARIA- Atualizada Breno'!H201</f>
        <v>46210.99</v>
      </c>
      <c r="D38" s="74">
        <f t="shared" si="0"/>
        <v>46210.99</v>
      </c>
      <c r="E38" s="77"/>
      <c r="F38" s="77"/>
      <c r="G38" s="77"/>
      <c r="H38" s="77">
        <f t="shared" ref="H38:J38" si="17">H37*$C38</f>
        <v>6931.6484999999993</v>
      </c>
      <c r="I38" s="77">
        <f t="shared" si="17"/>
        <v>18484.396000000001</v>
      </c>
      <c r="J38" s="88">
        <f t="shared" si="17"/>
        <v>20794.945499999998</v>
      </c>
    </row>
    <row r="39" spans="1:10">
      <c r="A39" s="183" t="s">
        <v>679</v>
      </c>
      <c r="B39" s="184" t="str">
        <f>'[5]ORÇAMENTARIA GERAL'!C227</f>
        <v>MARCENARIA</v>
      </c>
      <c r="C39" s="69">
        <f>C40/$C$48</f>
        <v>2.3028517158561239E-2</v>
      </c>
      <c r="D39" s="70">
        <f t="shared" si="0"/>
        <v>1</v>
      </c>
      <c r="E39" s="71"/>
      <c r="F39" s="72"/>
      <c r="G39" s="72"/>
      <c r="H39" s="72"/>
      <c r="I39" s="71">
        <v>0.5</v>
      </c>
      <c r="J39" s="86">
        <v>0.5</v>
      </c>
    </row>
    <row r="40" spans="1:10">
      <c r="A40" s="183"/>
      <c r="B40" s="184"/>
      <c r="C40" s="73">
        <f>'ORÇAMENTARIA- Atualizada Breno'!H222</f>
        <v>27240.919999999995</v>
      </c>
      <c r="D40" s="74">
        <f t="shared" si="0"/>
        <v>27240.919999999995</v>
      </c>
      <c r="E40" s="74"/>
      <c r="F40" s="74"/>
      <c r="G40" s="74"/>
      <c r="H40" s="74"/>
      <c r="I40" s="74">
        <f t="shared" ref="I40:J40" si="18">I39*$C40</f>
        <v>13620.459999999997</v>
      </c>
      <c r="J40" s="87">
        <f t="shared" si="18"/>
        <v>13620.459999999997</v>
      </c>
    </row>
    <row r="41" spans="1:10">
      <c r="A41" s="183" t="s">
        <v>680</v>
      </c>
      <c r="B41" s="184" t="str">
        <f>'[5]ORÇAMENTARIA GERAL'!C236</f>
        <v>INSTALAÇÕES DE COMBATE A INCÊNDIO</v>
      </c>
      <c r="C41" s="69">
        <f>C42/$C$48</f>
        <v>3.0629311175981593E-2</v>
      </c>
      <c r="D41" s="70">
        <f t="shared" si="0"/>
        <v>1</v>
      </c>
      <c r="E41" s="71"/>
      <c r="F41" s="72"/>
      <c r="G41" s="72"/>
      <c r="H41" s="72">
        <v>0.3</v>
      </c>
      <c r="I41" s="71">
        <v>0.3</v>
      </c>
      <c r="J41" s="86">
        <v>0.4</v>
      </c>
    </row>
    <row r="42" spans="1:10">
      <c r="A42" s="183"/>
      <c r="B42" s="184"/>
      <c r="C42" s="73">
        <f>'ORÇAMENTARIA- Atualizada Breno'!H231</f>
        <v>36232.060000000005</v>
      </c>
      <c r="D42" s="74">
        <f t="shared" si="0"/>
        <v>36232.060000000005</v>
      </c>
      <c r="E42" s="74"/>
      <c r="F42" s="74"/>
      <c r="G42" s="74"/>
      <c r="H42" s="74">
        <f t="shared" ref="H42:J42" si="19">H41*$C42</f>
        <v>10869.618</v>
      </c>
      <c r="I42" s="74">
        <f t="shared" si="19"/>
        <v>10869.618</v>
      </c>
      <c r="J42" s="87">
        <f t="shared" si="19"/>
        <v>14492.824000000002</v>
      </c>
    </row>
    <row r="43" spans="1:10">
      <c r="A43" s="183" t="s">
        <v>681</v>
      </c>
      <c r="B43" s="191" t="str">
        <f>'[5]ORÇAMENTARIA GERAL'!C250</f>
        <v>SERVIÇOS COMPLEMENTARES</v>
      </c>
      <c r="C43" s="69">
        <f>C44/$C$48</f>
        <v>2.9728084581123596E-2</v>
      </c>
      <c r="D43" s="70">
        <f t="shared" si="0"/>
        <v>1</v>
      </c>
      <c r="E43" s="71"/>
      <c r="F43" s="72"/>
      <c r="G43" s="72"/>
      <c r="H43" s="72"/>
      <c r="I43" s="71">
        <v>0.3</v>
      </c>
      <c r="J43" s="86">
        <v>0.7</v>
      </c>
    </row>
    <row r="44" spans="1:10">
      <c r="A44" s="183"/>
      <c r="B44" s="191"/>
      <c r="C44" s="73">
        <f>'ORÇAMENTARIA- Atualizada Breno'!H245</f>
        <v>35165.979999999996</v>
      </c>
      <c r="D44" s="74">
        <f t="shared" si="0"/>
        <v>35165.979999999996</v>
      </c>
      <c r="E44" s="74"/>
      <c r="F44" s="74"/>
      <c r="G44" s="74"/>
      <c r="H44" s="74"/>
      <c r="I44" s="74">
        <f t="shared" ref="I44:J44" si="20">I43*$C44</f>
        <v>10549.793999999998</v>
      </c>
      <c r="J44" s="87">
        <f t="shared" si="20"/>
        <v>24616.185999999994</v>
      </c>
    </row>
    <row r="45" spans="1:10">
      <c r="A45" s="183" t="s">
        <v>682</v>
      </c>
      <c r="B45" s="184" t="str">
        <f>'[5]ORÇAMENTARIA GERAL'!C258</f>
        <v>ADMINISTRAÇÃO LOCAL</v>
      </c>
      <c r="C45" s="69">
        <f>C46/$C$48</f>
        <v>8.8065531671320599E-2</v>
      </c>
      <c r="D45" s="70">
        <f t="shared" si="0"/>
        <v>0.99999999999999989</v>
      </c>
      <c r="E45" s="72">
        <v>0.16650000000000001</v>
      </c>
      <c r="F45" s="72">
        <v>0.16669999999999999</v>
      </c>
      <c r="G45" s="72">
        <v>0.16669999999999999</v>
      </c>
      <c r="H45" s="72">
        <v>0.16669999999999999</v>
      </c>
      <c r="I45" s="72">
        <v>0.16669999999999999</v>
      </c>
      <c r="J45" s="86">
        <v>0.16669999999999999</v>
      </c>
    </row>
    <row r="46" spans="1:10">
      <c r="A46" s="183"/>
      <c r="B46" s="184"/>
      <c r="C46" s="73">
        <f>'ORÇAMENTARIA- Atualizada Breno'!H253</f>
        <v>104174.58</v>
      </c>
      <c r="D46" s="74">
        <f t="shared" si="0"/>
        <v>104174.58000000002</v>
      </c>
      <c r="E46" s="74">
        <f>E45*$C46</f>
        <v>17345.067570000003</v>
      </c>
      <c r="F46" s="74">
        <f t="shared" ref="F46:J46" si="21">F45*$C46</f>
        <v>17365.902485999999</v>
      </c>
      <c r="G46" s="74">
        <f t="shared" si="21"/>
        <v>17365.902485999999</v>
      </c>
      <c r="H46" s="74">
        <f t="shared" si="21"/>
        <v>17365.902485999999</v>
      </c>
      <c r="I46" s="74">
        <f t="shared" si="21"/>
        <v>17365.902485999999</v>
      </c>
      <c r="J46" s="87">
        <f t="shared" si="21"/>
        <v>17365.902485999999</v>
      </c>
    </row>
    <row r="47" spans="1:10">
      <c r="A47" s="195" t="s">
        <v>683</v>
      </c>
      <c r="B47" s="196"/>
      <c r="C47" s="79">
        <f>C45+C43+C41+C39+C37+C35+C33+C31+C29+C27+C25+C23+C21+C19+C17+C15+C13+C11+C9+C7+C5</f>
        <v>0.99999999999999978</v>
      </c>
      <c r="D47" s="78">
        <f t="shared" si="0"/>
        <v>0.99999999999999978</v>
      </c>
      <c r="E47" s="78">
        <f t="shared" ref="E47:J47" si="22">E48/$C$48</f>
        <v>7.6478370151721431E-2</v>
      </c>
      <c r="F47" s="78">
        <f t="shared" si="22"/>
        <v>0.14324046373336038</v>
      </c>
      <c r="G47" s="78">
        <f t="shared" si="22"/>
        <v>0.19587975080672113</v>
      </c>
      <c r="H47" s="78">
        <f t="shared" si="22"/>
        <v>0.2214183714493565</v>
      </c>
      <c r="I47" s="78">
        <f t="shared" si="22"/>
        <v>0.20600658470431438</v>
      </c>
      <c r="J47" s="89">
        <f t="shared" si="22"/>
        <v>0.15697645915452602</v>
      </c>
    </row>
    <row r="48" spans="1:10">
      <c r="A48" s="195"/>
      <c r="B48" s="196"/>
      <c r="C48" s="80">
        <f>SUM(C22,C20,C18,C16,C14,C12,C10,C8,C6+C24+C26+C28+C30+C32+C34+C36+C38+C40+C42+C44+C46)</f>
        <v>1182921.1500000001</v>
      </c>
      <c r="D48" s="80">
        <f t="shared" si="0"/>
        <v>1182921.1499999999</v>
      </c>
      <c r="E48" s="80">
        <f>SUM(E22,E20,E18,E16,E14,E12,E10,E8,E6+E24+E26+E28+E30+E32+E34+E36+E38+E40+E42+E44+E46)</f>
        <v>90467.881569999998</v>
      </c>
      <c r="F48" s="80">
        <f t="shared" ref="F48:J48" si="23">SUM(F22,F20,F18,F16,F14,F12,F10,F8,F6+F24+F26+F28+F30+F32+F34+F36+F38+F40+F42+F44+F46)</f>
        <v>169442.17408599998</v>
      </c>
      <c r="G48" s="80">
        <f t="shared" si="23"/>
        <v>231710.300086</v>
      </c>
      <c r="H48" s="80">
        <f t="shared" si="23"/>
        <v>261920.474586</v>
      </c>
      <c r="I48" s="80">
        <f t="shared" si="23"/>
        <v>243689.54608599999</v>
      </c>
      <c r="J48" s="90">
        <f t="shared" si="23"/>
        <v>185690.77358599997</v>
      </c>
    </row>
    <row r="49" spans="1:10">
      <c r="A49" s="197"/>
      <c r="B49" s="198"/>
      <c r="C49" s="198"/>
      <c r="D49" s="198"/>
      <c r="E49" s="198"/>
      <c r="F49" s="198"/>
      <c r="G49" s="198"/>
      <c r="H49" s="198"/>
      <c r="I49" s="198"/>
      <c r="J49" s="199"/>
    </row>
    <row r="50" spans="1:10">
      <c r="A50" s="91"/>
      <c r="B50" s="81"/>
      <c r="C50" s="81"/>
      <c r="D50" s="82"/>
      <c r="E50" s="82"/>
      <c r="F50" s="81"/>
      <c r="G50" s="81"/>
      <c r="H50" s="81"/>
      <c r="I50" s="81"/>
      <c r="J50" s="92"/>
    </row>
    <row r="51" spans="1:10" ht="58.5" customHeight="1">
      <c r="A51" s="150" t="s">
        <v>642</v>
      </c>
      <c r="B51" s="151"/>
      <c r="C51" s="151"/>
      <c r="D51" s="151"/>
      <c r="E51" s="151"/>
      <c r="F51" s="151"/>
      <c r="G51" s="151"/>
      <c r="H51" s="151"/>
      <c r="I51" s="151"/>
      <c r="J51" s="152"/>
    </row>
    <row r="52" spans="1:10" s="2" customFormat="1" ht="12.75" customHeight="1">
      <c r="A52" s="200" t="s">
        <v>643</v>
      </c>
      <c r="B52" s="201"/>
      <c r="C52" s="201"/>
      <c r="D52" s="201"/>
      <c r="E52" s="201"/>
      <c r="F52" s="201"/>
      <c r="G52" s="201"/>
      <c r="H52" s="201"/>
      <c r="I52" s="201"/>
      <c r="J52" s="202"/>
    </row>
    <row r="53" spans="1:10" s="2" customFormat="1" ht="12.75">
      <c r="A53" s="65"/>
      <c r="B53" s="42"/>
      <c r="C53" s="42"/>
      <c r="D53" s="42"/>
      <c r="E53" s="42"/>
      <c r="F53" s="42"/>
      <c r="G53" s="42"/>
      <c r="H53" s="42"/>
      <c r="I53" s="42"/>
      <c r="J53" s="66"/>
    </row>
    <row r="54" spans="1:10" s="2" customFormat="1" ht="13.5" thickBot="1">
      <c r="A54" s="192" t="s">
        <v>684</v>
      </c>
      <c r="B54" s="193"/>
      <c r="C54" s="193"/>
      <c r="D54" s="193"/>
      <c r="E54" s="193"/>
      <c r="F54" s="193"/>
      <c r="G54" s="193"/>
      <c r="H54" s="193"/>
      <c r="I54" s="193"/>
      <c r="J54" s="194"/>
    </row>
    <row r="55" spans="1:10" s="2" customFormat="1" ht="13.5" thickBot="1">
      <c r="A55" s="171"/>
      <c r="B55" s="172"/>
      <c r="C55" s="172"/>
      <c r="D55" s="172"/>
      <c r="E55" s="172"/>
      <c r="F55" s="172"/>
      <c r="G55" s="172"/>
      <c r="H55" s="172"/>
      <c r="I55" s="172"/>
      <c r="J55" s="173"/>
    </row>
    <row r="56" spans="1:10">
      <c r="D56" s="75"/>
    </row>
    <row r="57" spans="1:10">
      <c r="C57" s="75"/>
      <c r="D57" s="75"/>
      <c r="E57" s="76"/>
      <c r="F57" s="76"/>
      <c r="G57" s="76"/>
      <c r="H57" s="76"/>
      <c r="I57" s="76"/>
      <c r="J57" s="76"/>
    </row>
    <row r="58" spans="1:10">
      <c r="D58" s="75"/>
      <c r="E58" s="83"/>
      <c r="F58" s="83"/>
      <c r="G58" s="83"/>
      <c r="H58" s="83"/>
      <c r="I58" s="83"/>
      <c r="J58" s="83"/>
    </row>
    <row r="60" spans="1:10">
      <c r="D60" s="75"/>
      <c r="E60" s="84"/>
      <c r="F60" s="84"/>
      <c r="G60" s="84"/>
      <c r="H60" s="84"/>
      <c r="I60" s="84"/>
      <c r="J60" s="84"/>
    </row>
    <row r="61" spans="1:10">
      <c r="D61" s="83"/>
      <c r="E61" s="85"/>
      <c r="F61" s="85"/>
      <c r="G61" s="85"/>
      <c r="H61" s="85"/>
      <c r="I61" s="85"/>
      <c r="J61" s="85"/>
    </row>
    <row r="62" spans="1:10">
      <c r="E62" s="76"/>
      <c r="F62" s="76"/>
      <c r="G62" s="76"/>
      <c r="H62" s="76"/>
      <c r="I62" s="76"/>
      <c r="J62" s="76"/>
    </row>
    <row r="65" spans="5:10">
      <c r="E65" s="76"/>
      <c r="F65" s="76"/>
      <c r="G65" s="76"/>
      <c r="H65" s="76"/>
      <c r="I65" s="76"/>
      <c r="J65" s="76"/>
    </row>
  </sheetData>
  <mergeCells count="50">
    <mergeCell ref="A54:J55"/>
    <mergeCell ref="A45:A46"/>
    <mergeCell ref="B45:B46"/>
    <mergeCell ref="A47:B48"/>
    <mergeCell ref="A49:J49"/>
    <mergeCell ref="A51:J51"/>
    <mergeCell ref="A52:J52"/>
    <mergeCell ref="A39:A40"/>
    <mergeCell ref="B39:B40"/>
    <mergeCell ref="A41:A42"/>
    <mergeCell ref="B41:B42"/>
    <mergeCell ref="A43:A44"/>
    <mergeCell ref="B43:B44"/>
    <mergeCell ref="A33:A34"/>
    <mergeCell ref="B33:B34"/>
    <mergeCell ref="A35:A36"/>
    <mergeCell ref="B35:B36"/>
    <mergeCell ref="A37:A38"/>
    <mergeCell ref="B37:B38"/>
    <mergeCell ref="A27:A28"/>
    <mergeCell ref="B27:B28"/>
    <mergeCell ref="A29:A30"/>
    <mergeCell ref="B29:B30"/>
    <mergeCell ref="A31:A32"/>
    <mergeCell ref="B31:B32"/>
    <mergeCell ref="A21:A22"/>
    <mergeCell ref="B21:B22"/>
    <mergeCell ref="A23:A24"/>
    <mergeCell ref="B23:B24"/>
    <mergeCell ref="A25:A26"/>
    <mergeCell ref="B25:B26"/>
    <mergeCell ref="A15:A16"/>
    <mergeCell ref="B15:B16"/>
    <mergeCell ref="A17:A18"/>
    <mergeCell ref="B17:B18"/>
    <mergeCell ref="A19:A20"/>
    <mergeCell ref="B19:B20"/>
    <mergeCell ref="A9:A10"/>
    <mergeCell ref="B9:B10"/>
    <mergeCell ref="A11:A12"/>
    <mergeCell ref="B11:B12"/>
    <mergeCell ref="A13:A14"/>
    <mergeCell ref="B13:B14"/>
    <mergeCell ref="A5:A6"/>
    <mergeCell ref="B5:B6"/>
    <mergeCell ref="A7:A8"/>
    <mergeCell ref="B7:B8"/>
    <mergeCell ref="A1:J1"/>
    <mergeCell ref="A2:J2"/>
    <mergeCell ref="A3:J3"/>
  </mergeCells>
  <conditionalFormatting sqref="E7:J7 E9:J9 E11:J11 E13:J13 E15:J15 E17:J17 E19:J19 E21:J21 E39:J39 E25:J25 E37:J37 E27:J27 E29:J29 E23:J23 E31:J31 E33:J33 E35:J35 E41:J41 E43:J43 E5:J5">
    <cfRule type="cellIs" dxfId="1" priority="2" stopIfTrue="1" operator="greaterThan">
      <formula>0</formula>
    </cfRule>
  </conditionalFormatting>
  <conditionalFormatting sqref="E45:J45">
    <cfRule type="cellIs" dxfId="0" priority="1" stopIfTrue="1" operator="greaterThan">
      <formula>0</formula>
    </cfRule>
  </conditionalFormatting>
  <pageMargins left="0.511811024" right="0.511811024" top="0.78740157499999996" bottom="0.78740157499999996" header="0.31496062000000002" footer="0.31496062000000002"/>
  <pageSetup paperSize="9" orientation="landscape" r:id="rId1"/>
</worksheet>
</file>

<file path=xl/worksheets/sheet3.xml><?xml version="1.0" encoding="utf-8"?>
<worksheet xmlns="http://schemas.openxmlformats.org/spreadsheetml/2006/main" xmlns:r="http://schemas.openxmlformats.org/officeDocument/2006/relationships">
  <dimension ref="A1:IV323"/>
  <sheetViews>
    <sheetView showZeros="0" view="pageBreakPreview" topLeftCell="A186" zoomScale="115" zoomScaleSheetLayoutView="115" workbookViewId="0">
      <selection activeCell="S215" sqref="S215"/>
    </sheetView>
  </sheetViews>
  <sheetFormatPr defaultColWidth="4" defaultRowHeight="11.25"/>
  <cols>
    <col min="1" max="1" width="4.85546875" style="100" customWidth="1"/>
    <col min="2" max="2" width="10.42578125" style="107" customWidth="1"/>
    <col min="3" max="3" width="8.7109375" style="108" customWidth="1"/>
    <col min="4" max="4" width="59.42578125" style="109" customWidth="1"/>
    <col min="5" max="5" width="7" style="107" customWidth="1"/>
    <col min="6" max="7" width="7" style="107" hidden="1" customWidth="1"/>
    <col min="8" max="8" width="8" style="107" customWidth="1"/>
    <col min="9" max="9" width="11.42578125" style="107" customWidth="1"/>
    <col min="10" max="10" width="11.42578125" style="107" hidden="1" customWidth="1"/>
    <col min="11" max="11" width="5.7109375" style="100" hidden="1" customWidth="1"/>
    <col min="12" max="12" width="6.28515625" style="100" hidden="1" customWidth="1"/>
    <col min="13" max="253" width="9.140625" style="100" customWidth="1"/>
    <col min="254" max="256" width="4" style="100"/>
    <col min="257" max="257" width="4.85546875" style="100" customWidth="1"/>
    <col min="258" max="258" width="10.42578125" style="100" customWidth="1"/>
    <col min="259" max="259" width="8.7109375" style="100" customWidth="1"/>
    <col min="260" max="260" width="59.42578125" style="100" customWidth="1"/>
    <col min="261" max="261" width="7" style="100" customWidth="1"/>
    <col min="262" max="263" width="0" style="100" hidden="1" customWidth="1"/>
    <col min="264" max="264" width="8" style="100" customWidth="1"/>
    <col min="265" max="265" width="11.42578125" style="100" customWidth="1"/>
    <col min="266" max="268" width="0" style="100" hidden="1" customWidth="1"/>
    <col min="269" max="509" width="9.140625" style="100" customWidth="1"/>
    <col min="510" max="512" width="4" style="100"/>
    <col min="513" max="513" width="4.85546875" style="100" customWidth="1"/>
    <col min="514" max="514" width="10.42578125" style="100" customWidth="1"/>
    <col min="515" max="515" width="8.7109375" style="100" customWidth="1"/>
    <col min="516" max="516" width="59.42578125" style="100" customWidth="1"/>
    <col min="517" max="517" width="7" style="100" customWidth="1"/>
    <col min="518" max="519" width="0" style="100" hidden="1" customWidth="1"/>
    <col min="520" max="520" width="8" style="100" customWidth="1"/>
    <col min="521" max="521" width="11.42578125" style="100" customWidth="1"/>
    <col min="522" max="524" width="0" style="100" hidden="1" customWidth="1"/>
    <col min="525" max="765" width="9.140625" style="100" customWidth="1"/>
    <col min="766" max="768" width="4" style="100"/>
    <col min="769" max="769" width="4.85546875" style="100" customWidth="1"/>
    <col min="770" max="770" width="10.42578125" style="100" customWidth="1"/>
    <col min="771" max="771" width="8.7109375" style="100" customWidth="1"/>
    <col min="772" max="772" width="59.42578125" style="100" customWidth="1"/>
    <col min="773" max="773" width="7" style="100" customWidth="1"/>
    <col min="774" max="775" width="0" style="100" hidden="1" customWidth="1"/>
    <col min="776" max="776" width="8" style="100" customWidth="1"/>
    <col min="777" max="777" width="11.42578125" style="100" customWidth="1"/>
    <col min="778" max="780" width="0" style="100" hidden="1" customWidth="1"/>
    <col min="781" max="1021" width="9.140625" style="100" customWidth="1"/>
    <col min="1022" max="1024" width="4" style="100"/>
    <col min="1025" max="1025" width="4.85546875" style="100" customWidth="1"/>
    <col min="1026" max="1026" width="10.42578125" style="100" customWidth="1"/>
    <col min="1027" max="1027" width="8.7109375" style="100" customWidth="1"/>
    <col min="1028" max="1028" width="59.42578125" style="100" customWidth="1"/>
    <col min="1029" max="1029" width="7" style="100" customWidth="1"/>
    <col min="1030" max="1031" width="0" style="100" hidden="1" customWidth="1"/>
    <col min="1032" max="1032" width="8" style="100" customWidth="1"/>
    <col min="1033" max="1033" width="11.42578125" style="100" customWidth="1"/>
    <col min="1034" max="1036" width="0" style="100" hidden="1" customWidth="1"/>
    <col min="1037" max="1277" width="9.140625" style="100" customWidth="1"/>
    <col min="1278" max="1280" width="4" style="100"/>
    <col min="1281" max="1281" width="4.85546875" style="100" customWidth="1"/>
    <col min="1282" max="1282" width="10.42578125" style="100" customWidth="1"/>
    <col min="1283" max="1283" width="8.7109375" style="100" customWidth="1"/>
    <col min="1284" max="1284" width="59.42578125" style="100" customWidth="1"/>
    <col min="1285" max="1285" width="7" style="100" customWidth="1"/>
    <col min="1286" max="1287" width="0" style="100" hidden="1" customWidth="1"/>
    <col min="1288" max="1288" width="8" style="100" customWidth="1"/>
    <col min="1289" max="1289" width="11.42578125" style="100" customWidth="1"/>
    <col min="1290" max="1292" width="0" style="100" hidden="1" customWidth="1"/>
    <col min="1293" max="1533" width="9.140625" style="100" customWidth="1"/>
    <col min="1534" max="1536" width="4" style="100"/>
    <col min="1537" max="1537" width="4.85546875" style="100" customWidth="1"/>
    <col min="1538" max="1538" width="10.42578125" style="100" customWidth="1"/>
    <col min="1539" max="1539" width="8.7109375" style="100" customWidth="1"/>
    <col min="1540" max="1540" width="59.42578125" style="100" customWidth="1"/>
    <col min="1541" max="1541" width="7" style="100" customWidth="1"/>
    <col min="1542" max="1543" width="0" style="100" hidden="1" customWidth="1"/>
    <col min="1544" max="1544" width="8" style="100" customWidth="1"/>
    <col min="1545" max="1545" width="11.42578125" style="100" customWidth="1"/>
    <col min="1546" max="1548" width="0" style="100" hidden="1" customWidth="1"/>
    <col min="1549" max="1789" width="9.140625" style="100" customWidth="1"/>
    <col min="1790" max="1792" width="4" style="100"/>
    <col min="1793" max="1793" width="4.85546875" style="100" customWidth="1"/>
    <col min="1794" max="1794" width="10.42578125" style="100" customWidth="1"/>
    <col min="1795" max="1795" width="8.7109375" style="100" customWidth="1"/>
    <col min="1796" max="1796" width="59.42578125" style="100" customWidth="1"/>
    <col min="1797" max="1797" width="7" style="100" customWidth="1"/>
    <col min="1798" max="1799" width="0" style="100" hidden="1" customWidth="1"/>
    <col min="1800" max="1800" width="8" style="100" customWidth="1"/>
    <col min="1801" max="1801" width="11.42578125" style="100" customWidth="1"/>
    <col min="1802" max="1804" width="0" style="100" hidden="1" customWidth="1"/>
    <col min="1805" max="2045" width="9.140625" style="100" customWidth="1"/>
    <col min="2046" max="2048" width="4" style="100"/>
    <col min="2049" max="2049" width="4.85546875" style="100" customWidth="1"/>
    <col min="2050" max="2050" width="10.42578125" style="100" customWidth="1"/>
    <col min="2051" max="2051" width="8.7109375" style="100" customWidth="1"/>
    <col min="2052" max="2052" width="59.42578125" style="100" customWidth="1"/>
    <col min="2053" max="2053" width="7" style="100" customWidth="1"/>
    <col min="2054" max="2055" width="0" style="100" hidden="1" customWidth="1"/>
    <col min="2056" max="2056" width="8" style="100" customWidth="1"/>
    <col min="2057" max="2057" width="11.42578125" style="100" customWidth="1"/>
    <col min="2058" max="2060" width="0" style="100" hidden="1" customWidth="1"/>
    <col min="2061" max="2301" width="9.140625" style="100" customWidth="1"/>
    <col min="2302" max="2304" width="4" style="100"/>
    <col min="2305" max="2305" width="4.85546875" style="100" customWidth="1"/>
    <col min="2306" max="2306" width="10.42578125" style="100" customWidth="1"/>
    <col min="2307" max="2307" width="8.7109375" style="100" customWidth="1"/>
    <col min="2308" max="2308" width="59.42578125" style="100" customWidth="1"/>
    <col min="2309" max="2309" width="7" style="100" customWidth="1"/>
    <col min="2310" max="2311" width="0" style="100" hidden="1" customWidth="1"/>
    <col min="2312" max="2312" width="8" style="100" customWidth="1"/>
    <col min="2313" max="2313" width="11.42578125" style="100" customWidth="1"/>
    <col min="2314" max="2316" width="0" style="100" hidden="1" customWidth="1"/>
    <col min="2317" max="2557" width="9.140625" style="100" customWidth="1"/>
    <col min="2558" max="2560" width="4" style="100"/>
    <col min="2561" max="2561" width="4.85546875" style="100" customWidth="1"/>
    <col min="2562" max="2562" width="10.42578125" style="100" customWidth="1"/>
    <col min="2563" max="2563" width="8.7109375" style="100" customWidth="1"/>
    <col min="2564" max="2564" width="59.42578125" style="100" customWidth="1"/>
    <col min="2565" max="2565" width="7" style="100" customWidth="1"/>
    <col min="2566" max="2567" width="0" style="100" hidden="1" customWidth="1"/>
    <col min="2568" max="2568" width="8" style="100" customWidth="1"/>
    <col min="2569" max="2569" width="11.42578125" style="100" customWidth="1"/>
    <col min="2570" max="2572" width="0" style="100" hidden="1" customWidth="1"/>
    <col min="2573" max="2813" width="9.140625" style="100" customWidth="1"/>
    <col min="2814" max="2816" width="4" style="100"/>
    <col min="2817" max="2817" width="4.85546875" style="100" customWidth="1"/>
    <col min="2818" max="2818" width="10.42578125" style="100" customWidth="1"/>
    <col min="2819" max="2819" width="8.7109375" style="100" customWidth="1"/>
    <col min="2820" max="2820" width="59.42578125" style="100" customWidth="1"/>
    <col min="2821" max="2821" width="7" style="100" customWidth="1"/>
    <col min="2822" max="2823" width="0" style="100" hidden="1" customWidth="1"/>
    <col min="2824" max="2824" width="8" style="100" customWidth="1"/>
    <col min="2825" max="2825" width="11.42578125" style="100" customWidth="1"/>
    <col min="2826" max="2828" width="0" style="100" hidden="1" customWidth="1"/>
    <col min="2829" max="3069" width="9.140625" style="100" customWidth="1"/>
    <col min="3070" max="3072" width="4" style="100"/>
    <col min="3073" max="3073" width="4.85546875" style="100" customWidth="1"/>
    <col min="3074" max="3074" width="10.42578125" style="100" customWidth="1"/>
    <col min="3075" max="3075" width="8.7109375" style="100" customWidth="1"/>
    <col min="3076" max="3076" width="59.42578125" style="100" customWidth="1"/>
    <col min="3077" max="3077" width="7" style="100" customWidth="1"/>
    <col min="3078" max="3079" width="0" style="100" hidden="1" customWidth="1"/>
    <col min="3080" max="3080" width="8" style="100" customWidth="1"/>
    <col min="3081" max="3081" width="11.42578125" style="100" customWidth="1"/>
    <col min="3082" max="3084" width="0" style="100" hidden="1" customWidth="1"/>
    <col min="3085" max="3325" width="9.140625" style="100" customWidth="1"/>
    <col min="3326" max="3328" width="4" style="100"/>
    <col min="3329" max="3329" width="4.85546875" style="100" customWidth="1"/>
    <col min="3330" max="3330" width="10.42578125" style="100" customWidth="1"/>
    <col min="3331" max="3331" width="8.7109375" style="100" customWidth="1"/>
    <col min="3332" max="3332" width="59.42578125" style="100" customWidth="1"/>
    <col min="3333" max="3333" width="7" style="100" customWidth="1"/>
    <col min="3334" max="3335" width="0" style="100" hidden="1" customWidth="1"/>
    <col min="3336" max="3336" width="8" style="100" customWidth="1"/>
    <col min="3337" max="3337" width="11.42578125" style="100" customWidth="1"/>
    <col min="3338" max="3340" width="0" style="100" hidden="1" customWidth="1"/>
    <col min="3341" max="3581" width="9.140625" style="100" customWidth="1"/>
    <col min="3582" max="3584" width="4" style="100"/>
    <col min="3585" max="3585" width="4.85546875" style="100" customWidth="1"/>
    <col min="3586" max="3586" width="10.42578125" style="100" customWidth="1"/>
    <col min="3587" max="3587" width="8.7109375" style="100" customWidth="1"/>
    <col min="3588" max="3588" width="59.42578125" style="100" customWidth="1"/>
    <col min="3589" max="3589" width="7" style="100" customWidth="1"/>
    <col min="3590" max="3591" width="0" style="100" hidden="1" customWidth="1"/>
    <col min="3592" max="3592" width="8" style="100" customWidth="1"/>
    <col min="3593" max="3593" width="11.42578125" style="100" customWidth="1"/>
    <col min="3594" max="3596" width="0" style="100" hidden="1" customWidth="1"/>
    <col min="3597" max="3837" width="9.140625" style="100" customWidth="1"/>
    <col min="3838" max="3840" width="4" style="100"/>
    <col min="3841" max="3841" width="4.85546875" style="100" customWidth="1"/>
    <col min="3842" max="3842" width="10.42578125" style="100" customWidth="1"/>
    <col min="3843" max="3843" width="8.7109375" style="100" customWidth="1"/>
    <col min="3844" max="3844" width="59.42578125" style="100" customWidth="1"/>
    <col min="3845" max="3845" width="7" style="100" customWidth="1"/>
    <col min="3846" max="3847" width="0" style="100" hidden="1" customWidth="1"/>
    <col min="3848" max="3848" width="8" style="100" customWidth="1"/>
    <col min="3849" max="3849" width="11.42578125" style="100" customWidth="1"/>
    <col min="3850" max="3852" width="0" style="100" hidden="1" customWidth="1"/>
    <col min="3853" max="4093" width="9.140625" style="100" customWidth="1"/>
    <col min="4094" max="4096" width="4" style="100"/>
    <col min="4097" max="4097" width="4.85546875" style="100" customWidth="1"/>
    <col min="4098" max="4098" width="10.42578125" style="100" customWidth="1"/>
    <col min="4099" max="4099" width="8.7109375" style="100" customWidth="1"/>
    <col min="4100" max="4100" width="59.42578125" style="100" customWidth="1"/>
    <col min="4101" max="4101" width="7" style="100" customWidth="1"/>
    <col min="4102" max="4103" width="0" style="100" hidden="1" customWidth="1"/>
    <col min="4104" max="4104" width="8" style="100" customWidth="1"/>
    <col min="4105" max="4105" width="11.42578125" style="100" customWidth="1"/>
    <col min="4106" max="4108" width="0" style="100" hidden="1" customWidth="1"/>
    <col min="4109" max="4349" width="9.140625" style="100" customWidth="1"/>
    <col min="4350" max="4352" width="4" style="100"/>
    <col min="4353" max="4353" width="4.85546875" style="100" customWidth="1"/>
    <col min="4354" max="4354" width="10.42578125" style="100" customWidth="1"/>
    <col min="4355" max="4355" width="8.7109375" style="100" customWidth="1"/>
    <col min="4356" max="4356" width="59.42578125" style="100" customWidth="1"/>
    <col min="4357" max="4357" width="7" style="100" customWidth="1"/>
    <col min="4358" max="4359" width="0" style="100" hidden="1" customWidth="1"/>
    <col min="4360" max="4360" width="8" style="100" customWidth="1"/>
    <col min="4361" max="4361" width="11.42578125" style="100" customWidth="1"/>
    <col min="4362" max="4364" width="0" style="100" hidden="1" customWidth="1"/>
    <col min="4365" max="4605" width="9.140625" style="100" customWidth="1"/>
    <col min="4606" max="4608" width="4" style="100"/>
    <col min="4609" max="4609" width="4.85546875" style="100" customWidth="1"/>
    <col min="4610" max="4610" width="10.42578125" style="100" customWidth="1"/>
    <col min="4611" max="4611" width="8.7109375" style="100" customWidth="1"/>
    <col min="4612" max="4612" width="59.42578125" style="100" customWidth="1"/>
    <col min="4613" max="4613" width="7" style="100" customWidth="1"/>
    <col min="4614" max="4615" width="0" style="100" hidden="1" customWidth="1"/>
    <col min="4616" max="4616" width="8" style="100" customWidth="1"/>
    <col min="4617" max="4617" width="11.42578125" style="100" customWidth="1"/>
    <col min="4618" max="4620" width="0" style="100" hidden="1" customWidth="1"/>
    <col min="4621" max="4861" width="9.140625" style="100" customWidth="1"/>
    <col min="4862" max="4864" width="4" style="100"/>
    <col min="4865" max="4865" width="4.85546875" style="100" customWidth="1"/>
    <col min="4866" max="4866" width="10.42578125" style="100" customWidth="1"/>
    <col min="4867" max="4867" width="8.7109375" style="100" customWidth="1"/>
    <col min="4868" max="4868" width="59.42578125" style="100" customWidth="1"/>
    <col min="4869" max="4869" width="7" style="100" customWidth="1"/>
    <col min="4870" max="4871" width="0" style="100" hidden="1" customWidth="1"/>
    <col min="4872" max="4872" width="8" style="100" customWidth="1"/>
    <col min="4873" max="4873" width="11.42578125" style="100" customWidth="1"/>
    <col min="4874" max="4876" width="0" style="100" hidden="1" customWidth="1"/>
    <col min="4877" max="5117" width="9.140625" style="100" customWidth="1"/>
    <col min="5118" max="5120" width="4" style="100"/>
    <col min="5121" max="5121" width="4.85546875" style="100" customWidth="1"/>
    <col min="5122" max="5122" width="10.42578125" style="100" customWidth="1"/>
    <col min="5123" max="5123" width="8.7109375" style="100" customWidth="1"/>
    <col min="5124" max="5124" width="59.42578125" style="100" customWidth="1"/>
    <col min="5125" max="5125" width="7" style="100" customWidth="1"/>
    <col min="5126" max="5127" width="0" style="100" hidden="1" customWidth="1"/>
    <col min="5128" max="5128" width="8" style="100" customWidth="1"/>
    <col min="5129" max="5129" width="11.42578125" style="100" customWidth="1"/>
    <col min="5130" max="5132" width="0" style="100" hidden="1" customWidth="1"/>
    <col min="5133" max="5373" width="9.140625" style="100" customWidth="1"/>
    <col min="5374" max="5376" width="4" style="100"/>
    <col min="5377" max="5377" width="4.85546875" style="100" customWidth="1"/>
    <col min="5378" max="5378" width="10.42578125" style="100" customWidth="1"/>
    <col min="5379" max="5379" width="8.7109375" style="100" customWidth="1"/>
    <col min="5380" max="5380" width="59.42578125" style="100" customWidth="1"/>
    <col min="5381" max="5381" width="7" style="100" customWidth="1"/>
    <col min="5382" max="5383" width="0" style="100" hidden="1" customWidth="1"/>
    <col min="5384" max="5384" width="8" style="100" customWidth="1"/>
    <col min="5385" max="5385" width="11.42578125" style="100" customWidth="1"/>
    <col min="5386" max="5388" width="0" style="100" hidden="1" customWidth="1"/>
    <col min="5389" max="5629" width="9.140625" style="100" customWidth="1"/>
    <col min="5630" max="5632" width="4" style="100"/>
    <col min="5633" max="5633" width="4.85546875" style="100" customWidth="1"/>
    <col min="5634" max="5634" width="10.42578125" style="100" customWidth="1"/>
    <col min="5635" max="5635" width="8.7109375" style="100" customWidth="1"/>
    <col min="5636" max="5636" width="59.42578125" style="100" customWidth="1"/>
    <col min="5637" max="5637" width="7" style="100" customWidth="1"/>
    <col min="5638" max="5639" width="0" style="100" hidden="1" customWidth="1"/>
    <col min="5640" max="5640" width="8" style="100" customWidth="1"/>
    <col min="5641" max="5641" width="11.42578125" style="100" customWidth="1"/>
    <col min="5642" max="5644" width="0" style="100" hidden="1" customWidth="1"/>
    <col min="5645" max="5885" width="9.140625" style="100" customWidth="1"/>
    <col min="5886" max="5888" width="4" style="100"/>
    <col min="5889" max="5889" width="4.85546875" style="100" customWidth="1"/>
    <col min="5890" max="5890" width="10.42578125" style="100" customWidth="1"/>
    <col min="5891" max="5891" width="8.7109375" style="100" customWidth="1"/>
    <col min="5892" max="5892" width="59.42578125" style="100" customWidth="1"/>
    <col min="5893" max="5893" width="7" style="100" customWidth="1"/>
    <col min="5894" max="5895" width="0" style="100" hidden="1" customWidth="1"/>
    <col min="5896" max="5896" width="8" style="100" customWidth="1"/>
    <col min="5897" max="5897" width="11.42578125" style="100" customWidth="1"/>
    <col min="5898" max="5900" width="0" style="100" hidden="1" customWidth="1"/>
    <col min="5901" max="6141" width="9.140625" style="100" customWidth="1"/>
    <col min="6142" max="6144" width="4" style="100"/>
    <col min="6145" max="6145" width="4.85546875" style="100" customWidth="1"/>
    <col min="6146" max="6146" width="10.42578125" style="100" customWidth="1"/>
    <col min="6147" max="6147" width="8.7109375" style="100" customWidth="1"/>
    <col min="6148" max="6148" width="59.42578125" style="100" customWidth="1"/>
    <col min="6149" max="6149" width="7" style="100" customWidth="1"/>
    <col min="6150" max="6151" width="0" style="100" hidden="1" customWidth="1"/>
    <col min="6152" max="6152" width="8" style="100" customWidth="1"/>
    <col min="6153" max="6153" width="11.42578125" style="100" customWidth="1"/>
    <col min="6154" max="6156" width="0" style="100" hidden="1" customWidth="1"/>
    <col min="6157" max="6397" width="9.140625" style="100" customWidth="1"/>
    <col min="6398" max="6400" width="4" style="100"/>
    <col min="6401" max="6401" width="4.85546875" style="100" customWidth="1"/>
    <col min="6402" max="6402" width="10.42578125" style="100" customWidth="1"/>
    <col min="6403" max="6403" width="8.7109375" style="100" customWidth="1"/>
    <col min="6404" max="6404" width="59.42578125" style="100" customWidth="1"/>
    <col min="6405" max="6405" width="7" style="100" customWidth="1"/>
    <col min="6406" max="6407" width="0" style="100" hidden="1" customWidth="1"/>
    <col min="6408" max="6408" width="8" style="100" customWidth="1"/>
    <col min="6409" max="6409" width="11.42578125" style="100" customWidth="1"/>
    <col min="6410" max="6412" width="0" style="100" hidden="1" customWidth="1"/>
    <col min="6413" max="6653" width="9.140625" style="100" customWidth="1"/>
    <col min="6654" max="6656" width="4" style="100"/>
    <col min="6657" max="6657" width="4.85546875" style="100" customWidth="1"/>
    <col min="6658" max="6658" width="10.42578125" style="100" customWidth="1"/>
    <col min="6659" max="6659" width="8.7109375" style="100" customWidth="1"/>
    <col min="6660" max="6660" width="59.42578125" style="100" customWidth="1"/>
    <col min="6661" max="6661" width="7" style="100" customWidth="1"/>
    <col min="6662" max="6663" width="0" style="100" hidden="1" customWidth="1"/>
    <col min="6664" max="6664" width="8" style="100" customWidth="1"/>
    <col min="6665" max="6665" width="11.42578125" style="100" customWidth="1"/>
    <col min="6666" max="6668" width="0" style="100" hidden="1" customWidth="1"/>
    <col min="6669" max="6909" width="9.140625" style="100" customWidth="1"/>
    <col min="6910" max="6912" width="4" style="100"/>
    <col min="6913" max="6913" width="4.85546875" style="100" customWidth="1"/>
    <col min="6914" max="6914" width="10.42578125" style="100" customWidth="1"/>
    <col min="6915" max="6915" width="8.7109375" style="100" customWidth="1"/>
    <col min="6916" max="6916" width="59.42578125" style="100" customWidth="1"/>
    <col min="6917" max="6917" width="7" style="100" customWidth="1"/>
    <col min="6918" max="6919" width="0" style="100" hidden="1" customWidth="1"/>
    <col min="6920" max="6920" width="8" style="100" customWidth="1"/>
    <col min="6921" max="6921" width="11.42578125" style="100" customWidth="1"/>
    <col min="6922" max="6924" width="0" style="100" hidden="1" customWidth="1"/>
    <col min="6925" max="7165" width="9.140625" style="100" customWidth="1"/>
    <col min="7166" max="7168" width="4" style="100"/>
    <col min="7169" max="7169" width="4.85546875" style="100" customWidth="1"/>
    <col min="7170" max="7170" width="10.42578125" style="100" customWidth="1"/>
    <col min="7171" max="7171" width="8.7109375" style="100" customWidth="1"/>
    <col min="7172" max="7172" width="59.42578125" style="100" customWidth="1"/>
    <col min="7173" max="7173" width="7" style="100" customWidth="1"/>
    <col min="7174" max="7175" width="0" style="100" hidden="1" customWidth="1"/>
    <col min="7176" max="7176" width="8" style="100" customWidth="1"/>
    <col min="7177" max="7177" width="11.42578125" style="100" customWidth="1"/>
    <col min="7178" max="7180" width="0" style="100" hidden="1" customWidth="1"/>
    <col min="7181" max="7421" width="9.140625" style="100" customWidth="1"/>
    <col min="7422" max="7424" width="4" style="100"/>
    <col min="7425" max="7425" width="4.85546875" style="100" customWidth="1"/>
    <col min="7426" max="7426" width="10.42578125" style="100" customWidth="1"/>
    <col min="7427" max="7427" width="8.7109375" style="100" customWidth="1"/>
    <col min="7428" max="7428" width="59.42578125" style="100" customWidth="1"/>
    <col min="7429" max="7429" width="7" style="100" customWidth="1"/>
    <col min="7430" max="7431" width="0" style="100" hidden="1" customWidth="1"/>
    <col min="7432" max="7432" width="8" style="100" customWidth="1"/>
    <col min="7433" max="7433" width="11.42578125" style="100" customWidth="1"/>
    <col min="7434" max="7436" width="0" style="100" hidden="1" customWidth="1"/>
    <col min="7437" max="7677" width="9.140625" style="100" customWidth="1"/>
    <col min="7678" max="7680" width="4" style="100"/>
    <col min="7681" max="7681" width="4.85546875" style="100" customWidth="1"/>
    <col min="7682" max="7682" width="10.42578125" style="100" customWidth="1"/>
    <col min="7683" max="7683" width="8.7109375" style="100" customWidth="1"/>
    <col min="7684" max="7684" width="59.42578125" style="100" customWidth="1"/>
    <col min="7685" max="7685" width="7" style="100" customWidth="1"/>
    <col min="7686" max="7687" width="0" style="100" hidden="1" customWidth="1"/>
    <col min="7688" max="7688" width="8" style="100" customWidth="1"/>
    <col min="7689" max="7689" width="11.42578125" style="100" customWidth="1"/>
    <col min="7690" max="7692" width="0" style="100" hidden="1" customWidth="1"/>
    <col min="7693" max="7933" width="9.140625" style="100" customWidth="1"/>
    <col min="7934" max="7936" width="4" style="100"/>
    <col min="7937" max="7937" width="4.85546875" style="100" customWidth="1"/>
    <col min="7938" max="7938" width="10.42578125" style="100" customWidth="1"/>
    <col min="7939" max="7939" width="8.7109375" style="100" customWidth="1"/>
    <col min="7940" max="7940" width="59.42578125" style="100" customWidth="1"/>
    <col min="7941" max="7941" width="7" style="100" customWidth="1"/>
    <col min="7942" max="7943" width="0" style="100" hidden="1" customWidth="1"/>
    <col min="7944" max="7944" width="8" style="100" customWidth="1"/>
    <col min="7945" max="7945" width="11.42578125" style="100" customWidth="1"/>
    <col min="7946" max="7948" width="0" style="100" hidden="1" customWidth="1"/>
    <col min="7949" max="8189" width="9.140625" style="100" customWidth="1"/>
    <col min="8190" max="8192" width="4" style="100"/>
    <col min="8193" max="8193" width="4.85546875" style="100" customWidth="1"/>
    <col min="8194" max="8194" width="10.42578125" style="100" customWidth="1"/>
    <col min="8195" max="8195" width="8.7109375" style="100" customWidth="1"/>
    <col min="8196" max="8196" width="59.42578125" style="100" customWidth="1"/>
    <col min="8197" max="8197" width="7" style="100" customWidth="1"/>
    <col min="8198" max="8199" width="0" style="100" hidden="1" customWidth="1"/>
    <col min="8200" max="8200" width="8" style="100" customWidth="1"/>
    <col min="8201" max="8201" width="11.42578125" style="100" customWidth="1"/>
    <col min="8202" max="8204" width="0" style="100" hidden="1" customWidth="1"/>
    <col min="8205" max="8445" width="9.140625" style="100" customWidth="1"/>
    <col min="8446" max="8448" width="4" style="100"/>
    <col min="8449" max="8449" width="4.85546875" style="100" customWidth="1"/>
    <col min="8450" max="8450" width="10.42578125" style="100" customWidth="1"/>
    <col min="8451" max="8451" width="8.7109375" style="100" customWidth="1"/>
    <col min="8452" max="8452" width="59.42578125" style="100" customWidth="1"/>
    <col min="8453" max="8453" width="7" style="100" customWidth="1"/>
    <col min="8454" max="8455" width="0" style="100" hidden="1" customWidth="1"/>
    <col min="8456" max="8456" width="8" style="100" customWidth="1"/>
    <col min="8457" max="8457" width="11.42578125" style="100" customWidth="1"/>
    <col min="8458" max="8460" width="0" style="100" hidden="1" customWidth="1"/>
    <col min="8461" max="8701" width="9.140625" style="100" customWidth="1"/>
    <col min="8702" max="8704" width="4" style="100"/>
    <col min="8705" max="8705" width="4.85546875" style="100" customWidth="1"/>
    <col min="8706" max="8706" width="10.42578125" style="100" customWidth="1"/>
    <col min="8707" max="8707" width="8.7109375" style="100" customWidth="1"/>
    <col min="8708" max="8708" width="59.42578125" style="100" customWidth="1"/>
    <col min="8709" max="8709" width="7" style="100" customWidth="1"/>
    <col min="8710" max="8711" width="0" style="100" hidden="1" customWidth="1"/>
    <col min="8712" max="8712" width="8" style="100" customWidth="1"/>
    <col min="8713" max="8713" width="11.42578125" style="100" customWidth="1"/>
    <col min="8714" max="8716" width="0" style="100" hidden="1" customWidth="1"/>
    <col min="8717" max="8957" width="9.140625" style="100" customWidth="1"/>
    <col min="8958" max="8960" width="4" style="100"/>
    <col min="8961" max="8961" width="4.85546875" style="100" customWidth="1"/>
    <col min="8962" max="8962" width="10.42578125" style="100" customWidth="1"/>
    <col min="8963" max="8963" width="8.7109375" style="100" customWidth="1"/>
    <col min="8964" max="8964" width="59.42578125" style="100" customWidth="1"/>
    <col min="8965" max="8965" width="7" style="100" customWidth="1"/>
    <col min="8966" max="8967" width="0" style="100" hidden="1" customWidth="1"/>
    <col min="8968" max="8968" width="8" style="100" customWidth="1"/>
    <col min="8969" max="8969" width="11.42578125" style="100" customWidth="1"/>
    <col min="8970" max="8972" width="0" style="100" hidden="1" customWidth="1"/>
    <col min="8973" max="9213" width="9.140625" style="100" customWidth="1"/>
    <col min="9214" max="9216" width="4" style="100"/>
    <col min="9217" max="9217" width="4.85546875" style="100" customWidth="1"/>
    <col min="9218" max="9218" width="10.42578125" style="100" customWidth="1"/>
    <col min="9219" max="9219" width="8.7109375" style="100" customWidth="1"/>
    <col min="9220" max="9220" width="59.42578125" style="100" customWidth="1"/>
    <col min="9221" max="9221" width="7" style="100" customWidth="1"/>
    <col min="9222" max="9223" width="0" style="100" hidden="1" customWidth="1"/>
    <col min="9224" max="9224" width="8" style="100" customWidth="1"/>
    <col min="9225" max="9225" width="11.42578125" style="100" customWidth="1"/>
    <col min="9226" max="9228" width="0" style="100" hidden="1" customWidth="1"/>
    <col min="9229" max="9469" width="9.140625" style="100" customWidth="1"/>
    <col min="9470" max="9472" width="4" style="100"/>
    <col min="9473" max="9473" width="4.85546875" style="100" customWidth="1"/>
    <col min="9474" max="9474" width="10.42578125" style="100" customWidth="1"/>
    <col min="9475" max="9475" width="8.7109375" style="100" customWidth="1"/>
    <col min="9476" max="9476" width="59.42578125" style="100" customWidth="1"/>
    <col min="9477" max="9477" width="7" style="100" customWidth="1"/>
    <col min="9478" max="9479" width="0" style="100" hidden="1" customWidth="1"/>
    <col min="9480" max="9480" width="8" style="100" customWidth="1"/>
    <col min="9481" max="9481" width="11.42578125" style="100" customWidth="1"/>
    <col min="9482" max="9484" width="0" style="100" hidden="1" customWidth="1"/>
    <col min="9485" max="9725" width="9.140625" style="100" customWidth="1"/>
    <col min="9726" max="9728" width="4" style="100"/>
    <col min="9729" max="9729" width="4.85546875" style="100" customWidth="1"/>
    <col min="9730" max="9730" width="10.42578125" style="100" customWidth="1"/>
    <col min="9731" max="9731" width="8.7109375" style="100" customWidth="1"/>
    <col min="9732" max="9732" width="59.42578125" style="100" customWidth="1"/>
    <col min="9733" max="9733" width="7" style="100" customWidth="1"/>
    <col min="9734" max="9735" width="0" style="100" hidden="1" customWidth="1"/>
    <col min="9736" max="9736" width="8" style="100" customWidth="1"/>
    <col min="9737" max="9737" width="11.42578125" style="100" customWidth="1"/>
    <col min="9738" max="9740" width="0" style="100" hidden="1" customWidth="1"/>
    <col min="9741" max="9981" width="9.140625" style="100" customWidth="1"/>
    <col min="9982" max="9984" width="4" style="100"/>
    <col min="9985" max="9985" width="4.85546875" style="100" customWidth="1"/>
    <col min="9986" max="9986" width="10.42578125" style="100" customWidth="1"/>
    <col min="9987" max="9987" width="8.7109375" style="100" customWidth="1"/>
    <col min="9988" max="9988" width="59.42578125" style="100" customWidth="1"/>
    <col min="9989" max="9989" width="7" style="100" customWidth="1"/>
    <col min="9990" max="9991" width="0" style="100" hidden="1" customWidth="1"/>
    <col min="9992" max="9992" width="8" style="100" customWidth="1"/>
    <col min="9993" max="9993" width="11.42578125" style="100" customWidth="1"/>
    <col min="9994" max="9996" width="0" style="100" hidden="1" customWidth="1"/>
    <col min="9997" max="10237" width="9.140625" style="100" customWidth="1"/>
    <col min="10238" max="10240" width="4" style="100"/>
    <col min="10241" max="10241" width="4.85546875" style="100" customWidth="1"/>
    <col min="10242" max="10242" width="10.42578125" style="100" customWidth="1"/>
    <col min="10243" max="10243" width="8.7109375" style="100" customWidth="1"/>
    <col min="10244" max="10244" width="59.42578125" style="100" customWidth="1"/>
    <col min="10245" max="10245" width="7" style="100" customWidth="1"/>
    <col min="10246" max="10247" width="0" style="100" hidden="1" customWidth="1"/>
    <col min="10248" max="10248" width="8" style="100" customWidth="1"/>
    <col min="10249" max="10249" width="11.42578125" style="100" customWidth="1"/>
    <col min="10250" max="10252" width="0" style="100" hidden="1" customWidth="1"/>
    <col min="10253" max="10493" width="9.140625" style="100" customWidth="1"/>
    <col min="10494" max="10496" width="4" style="100"/>
    <col min="10497" max="10497" width="4.85546875" style="100" customWidth="1"/>
    <col min="10498" max="10498" width="10.42578125" style="100" customWidth="1"/>
    <col min="10499" max="10499" width="8.7109375" style="100" customWidth="1"/>
    <col min="10500" max="10500" width="59.42578125" style="100" customWidth="1"/>
    <col min="10501" max="10501" width="7" style="100" customWidth="1"/>
    <col min="10502" max="10503" width="0" style="100" hidden="1" customWidth="1"/>
    <col min="10504" max="10504" width="8" style="100" customWidth="1"/>
    <col min="10505" max="10505" width="11.42578125" style="100" customWidth="1"/>
    <col min="10506" max="10508" width="0" style="100" hidden="1" customWidth="1"/>
    <col min="10509" max="10749" width="9.140625" style="100" customWidth="1"/>
    <col min="10750" max="10752" width="4" style="100"/>
    <col min="10753" max="10753" width="4.85546875" style="100" customWidth="1"/>
    <col min="10754" max="10754" width="10.42578125" style="100" customWidth="1"/>
    <col min="10755" max="10755" width="8.7109375" style="100" customWidth="1"/>
    <col min="10756" max="10756" width="59.42578125" style="100" customWidth="1"/>
    <col min="10757" max="10757" width="7" style="100" customWidth="1"/>
    <col min="10758" max="10759" width="0" style="100" hidden="1" customWidth="1"/>
    <col min="10760" max="10760" width="8" style="100" customWidth="1"/>
    <col min="10761" max="10761" width="11.42578125" style="100" customWidth="1"/>
    <col min="10762" max="10764" width="0" style="100" hidden="1" customWidth="1"/>
    <col min="10765" max="11005" width="9.140625" style="100" customWidth="1"/>
    <col min="11006" max="11008" width="4" style="100"/>
    <col min="11009" max="11009" width="4.85546875" style="100" customWidth="1"/>
    <col min="11010" max="11010" width="10.42578125" style="100" customWidth="1"/>
    <col min="11011" max="11011" width="8.7109375" style="100" customWidth="1"/>
    <col min="11012" max="11012" width="59.42578125" style="100" customWidth="1"/>
    <col min="11013" max="11013" width="7" style="100" customWidth="1"/>
    <col min="11014" max="11015" width="0" style="100" hidden="1" customWidth="1"/>
    <col min="11016" max="11016" width="8" style="100" customWidth="1"/>
    <col min="11017" max="11017" width="11.42578125" style="100" customWidth="1"/>
    <col min="11018" max="11020" width="0" style="100" hidden="1" customWidth="1"/>
    <col min="11021" max="11261" width="9.140625" style="100" customWidth="1"/>
    <col min="11262" max="11264" width="4" style="100"/>
    <col min="11265" max="11265" width="4.85546875" style="100" customWidth="1"/>
    <col min="11266" max="11266" width="10.42578125" style="100" customWidth="1"/>
    <col min="11267" max="11267" width="8.7109375" style="100" customWidth="1"/>
    <col min="11268" max="11268" width="59.42578125" style="100" customWidth="1"/>
    <col min="11269" max="11269" width="7" style="100" customWidth="1"/>
    <col min="11270" max="11271" width="0" style="100" hidden="1" customWidth="1"/>
    <col min="11272" max="11272" width="8" style="100" customWidth="1"/>
    <col min="11273" max="11273" width="11.42578125" style="100" customWidth="1"/>
    <col min="11274" max="11276" width="0" style="100" hidden="1" customWidth="1"/>
    <col min="11277" max="11517" width="9.140625" style="100" customWidth="1"/>
    <col min="11518" max="11520" width="4" style="100"/>
    <col min="11521" max="11521" width="4.85546875" style="100" customWidth="1"/>
    <col min="11522" max="11522" width="10.42578125" style="100" customWidth="1"/>
    <col min="11523" max="11523" width="8.7109375" style="100" customWidth="1"/>
    <col min="11524" max="11524" width="59.42578125" style="100" customWidth="1"/>
    <col min="11525" max="11525" width="7" style="100" customWidth="1"/>
    <col min="11526" max="11527" width="0" style="100" hidden="1" customWidth="1"/>
    <col min="11528" max="11528" width="8" style="100" customWidth="1"/>
    <col min="11529" max="11529" width="11.42578125" style="100" customWidth="1"/>
    <col min="11530" max="11532" width="0" style="100" hidden="1" customWidth="1"/>
    <col min="11533" max="11773" width="9.140625" style="100" customWidth="1"/>
    <col min="11774" max="11776" width="4" style="100"/>
    <col min="11777" max="11777" width="4.85546875" style="100" customWidth="1"/>
    <col min="11778" max="11778" width="10.42578125" style="100" customWidth="1"/>
    <col min="11779" max="11779" width="8.7109375" style="100" customWidth="1"/>
    <col min="11780" max="11780" width="59.42578125" style="100" customWidth="1"/>
    <col min="11781" max="11781" width="7" style="100" customWidth="1"/>
    <col min="11782" max="11783" width="0" style="100" hidden="1" customWidth="1"/>
    <col min="11784" max="11784" width="8" style="100" customWidth="1"/>
    <col min="11785" max="11785" width="11.42578125" style="100" customWidth="1"/>
    <col min="11786" max="11788" width="0" style="100" hidden="1" customWidth="1"/>
    <col min="11789" max="12029" width="9.140625" style="100" customWidth="1"/>
    <col min="12030" max="12032" width="4" style="100"/>
    <col min="12033" max="12033" width="4.85546875" style="100" customWidth="1"/>
    <col min="12034" max="12034" width="10.42578125" style="100" customWidth="1"/>
    <col min="12035" max="12035" width="8.7109375" style="100" customWidth="1"/>
    <col min="12036" max="12036" width="59.42578125" style="100" customWidth="1"/>
    <col min="12037" max="12037" width="7" style="100" customWidth="1"/>
    <col min="12038" max="12039" width="0" style="100" hidden="1" customWidth="1"/>
    <col min="12040" max="12040" width="8" style="100" customWidth="1"/>
    <col min="12041" max="12041" width="11.42578125" style="100" customWidth="1"/>
    <col min="12042" max="12044" width="0" style="100" hidden="1" customWidth="1"/>
    <col min="12045" max="12285" width="9.140625" style="100" customWidth="1"/>
    <col min="12286" max="12288" width="4" style="100"/>
    <col min="12289" max="12289" width="4.85546875" style="100" customWidth="1"/>
    <col min="12290" max="12290" width="10.42578125" style="100" customWidth="1"/>
    <col min="12291" max="12291" width="8.7109375" style="100" customWidth="1"/>
    <col min="12292" max="12292" width="59.42578125" style="100" customWidth="1"/>
    <col min="12293" max="12293" width="7" style="100" customWidth="1"/>
    <col min="12294" max="12295" width="0" style="100" hidden="1" customWidth="1"/>
    <col min="12296" max="12296" width="8" style="100" customWidth="1"/>
    <col min="12297" max="12297" width="11.42578125" style="100" customWidth="1"/>
    <col min="12298" max="12300" width="0" style="100" hidden="1" customWidth="1"/>
    <col min="12301" max="12541" width="9.140625" style="100" customWidth="1"/>
    <col min="12542" max="12544" width="4" style="100"/>
    <col min="12545" max="12545" width="4.85546875" style="100" customWidth="1"/>
    <col min="12546" max="12546" width="10.42578125" style="100" customWidth="1"/>
    <col min="12547" max="12547" width="8.7109375" style="100" customWidth="1"/>
    <col min="12548" max="12548" width="59.42578125" style="100" customWidth="1"/>
    <col min="12549" max="12549" width="7" style="100" customWidth="1"/>
    <col min="12550" max="12551" width="0" style="100" hidden="1" customWidth="1"/>
    <col min="12552" max="12552" width="8" style="100" customWidth="1"/>
    <col min="12553" max="12553" width="11.42578125" style="100" customWidth="1"/>
    <col min="12554" max="12556" width="0" style="100" hidden="1" customWidth="1"/>
    <col min="12557" max="12797" width="9.140625" style="100" customWidth="1"/>
    <col min="12798" max="12800" width="4" style="100"/>
    <col min="12801" max="12801" width="4.85546875" style="100" customWidth="1"/>
    <col min="12802" max="12802" width="10.42578125" style="100" customWidth="1"/>
    <col min="12803" max="12803" width="8.7109375" style="100" customWidth="1"/>
    <col min="12804" max="12804" width="59.42578125" style="100" customWidth="1"/>
    <col min="12805" max="12805" width="7" style="100" customWidth="1"/>
    <col min="12806" max="12807" width="0" style="100" hidden="1" customWidth="1"/>
    <col min="12808" max="12808" width="8" style="100" customWidth="1"/>
    <col min="12809" max="12809" width="11.42578125" style="100" customWidth="1"/>
    <col min="12810" max="12812" width="0" style="100" hidden="1" customWidth="1"/>
    <col min="12813" max="13053" width="9.140625" style="100" customWidth="1"/>
    <col min="13054" max="13056" width="4" style="100"/>
    <col min="13057" max="13057" width="4.85546875" style="100" customWidth="1"/>
    <col min="13058" max="13058" width="10.42578125" style="100" customWidth="1"/>
    <col min="13059" max="13059" width="8.7109375" style="100" customWidth="1"/>
    <col min="13060" max="13060" width="59.42578125" style="100" customWidth="1"/>
    <col min="13061" max="13061" width="7" style="100" customWidth="1"/>
    <col min="13062" max="13063" width="0" style="100" hidden="1" customWidth="1"/>
    <col min="13064" max="13064" width="8" style="100" customWidth="1"/>
    <col min="13065" max="13065" width="11.42578125" style="100" customWidth="1"/>
    <col min="13066" max="13068" width="0" style="100" hidden="1" customWidth="1"/>
    <col min="13069" max="13309" width="9.140625" style="100" customWidth="1"/>
    <col min="13310" max="13312" width="4" style="100"/>
    <col min="13313" max="13313" width="4.85546875" style="100" customWidth="1"/>
    <col min="13314" max="13314" width="10.42578125" style="100" customWidth="1"/>
    <col min="13315" max="13315" width="8.7109375" style="100" customWidth="1"/>
    <col min="13316" max="13316" width="59.42578125" style="100" customWidth="1"/>
    <col min="13317" max="13317" width="7" style="100" customWidth="1"/>
    <col min="13318" max="13319" width="0" style="100" hidden="1" customWidth="1"/>
    <col min="13320" max="13320" width="8" style="100" customWidth="1"/>
    <col min="13321" max="13321" width="11.42578125" style="100" customWidth="1"/>
    <col min="13322" max="13324" width="0" style="100" hidden="1" customWidth="1"/>
    <col min="13325" max="13565" width="9.140625" style="100" customWidth="1"/>
    <col min="13566" max="13568" width="4" style="100"/>
    <col min="13569" max="13569" width="4.85546875" style="100" customWidth="1"/>
    <col min="13570" max="13570" width="10.42578125" style="100" customWidth="1"/>
    <col min="13571" max="13571" width="8.7109375" style="100" customWidth="1"/>
    <col min="13572" max="13572" width="59.42578125" style="100" customWidth="1"/>
    <col min="13573" max="13573" width="7" style="100" customWidth="1"/>
    <col min="13574" max="13575" width="0" style="100" hidden="1" customWidth="1"/>
    <col min="13576" max="13576" width="8" style="100" customWidth="1"/>
    <col min="13577" max="13577" width="11.42578125" style="100" customWidth="1"/>
    <col min="13578" max="13580" width="0" style="100" hidden="1" customWidth="1"/>
    <col min="13581" max="13821" width="9.140625" style="100" customWidth="1"/>
    <col min="13822" max="13824" width="4" style="100"/>
    <col min="13825" max="13825" width="4.85546875" style="100" customWidth="1"/>
    <col min="13826" max="13826" width="10.42578125" style="100" customWidth="1"/>
    <col min="13827" max="13827" width="8.7109375" style="100" customWidth="1"/>
    <col min="13828" max="13828" width="59.42578125" style="100" customWidth="1"/>
    <col min="13829" max="13829" width="7" style="100" customWidth="1"/>
    <col min="13830" max="13831" width="0" style="100" hidden="1" customWidth="1"/>
    <col min="13832" max="13832" width="8" style="100" customWidth="1"/>
    <col min="13833" max="13833" width="11.42578125" style="100" customWidth="1"/>
    <col min="13834" max="13836" width="0" style="100" hidden="1" customWidth="1"/>
    <col min="13837" max="14077" width="9.140625" style="100" customWidth="1"/>
    <col min="14078" max="14080" width="4" style="100"/>
    <col min="14081" max="14081" width="4.85546875" style="100" customWidth="1"/>
    <col min="14082" max="14082" width="10.42578125" style="100" customWidth="1"/>
    <col min="14083" max="14083" width="8.7109375" style="100" customWidth="1"/>
    <col min="14084" max="14084" width="59.42578125" style="100" customWidth="1"/>
    <col min="14085" max="14085" width="7" style="100" customWidth="1"/>
    <col min="14086" max="14087" width="0" style="100" hidden="1" customWidth="1"/>
    <col min="14088" max="14088" width="8" style="100" customWidth="1"/>
    <col min="14089" max="14089" width="11.42578125" style="100" customWidth="1"/>
    <col min="14090" max="14092" width="0" style="100" hidden="1" customWidth="1"/>
    <col min="14093" max="14333" width="9.140625" style="100" customWidth="1"/>
    <col min="14334" max="14336" width="4" style="100"/>
    <col min="14337" max="14337" width="4.85546875" style="100" customWidth="1"/>
    <col min="14338" max="14338" width="10.42578125" style="100" customWidth="1"/>
    <col min="14339" max="14339" width="8.7109375" style="100" customWidth="1"/>
    <col min="14340" max="14340" width="59.42578125" style="100" customWidth="1"/>
    <col min="14341" max="14341" width="7" style="100" customWidth="1"/>
    <col min="14342" max="14343" width="0" style="100" hidden="1" customWidth="1"/>
    <col min="14344" max="14344" width="8" style="100" customWidth="1"/>
    <col min="14345" max="14345" width="11.42578125" style="100" customWidth="1"/>
    <col min="14346" max="14348" width="0" style="100" hidden="1" customWidth="1"/>
    <col min="14349" max="14589" width="9.140625" style="100" customWidth="1"/>
    <col min="14590" max="14592" width="4" style="100"/>
    <col min="14593" max="14593" width="4.85546875" style="100" customWidth="1"/>
    <col min="14594" max="14594" width="10.42578125" style="100" customWidth="1"/>
    <col min="14595" max="14595" width="8.7109375" style="100" customWidth="1"/>
    <col min="14596" max="14596" width="59.42578125" style="100" customWidth="1"/>
    <col min="14597" max="14597" width="7" style="100" customWidth="1"/>
    <col min="14598" max="14599" width="0" style="100" hidden="1" customWidth="1"/>
    <col min="14600" max="14600" width="8" style="100" customWidth="1"/>
    <col min="14601" max="14601" width="11.42578125" style="100" customWidth="1"/>
    <col min="14602" max="14604" width="0" style="100" hidden="1" customWidth="1"/>
    <col min="14605" max="14845" width="9.140625" style="100" customWidth="1"/>
    <col min="14846" max="14848" width="4" style="100"/>
    <col min="14849" max="14849" width="4.85546875" style="100" customWidth="1"/>
    <col min="14850" max="14850" width="10.42578125" style="100" customWidth="1"/>
    <col min="14851" max="14851" width="8.7109375" style="100" customWidth="1"/>
    <col min="14852" max="14852" width="59.42578125" style="100" customWidth="1"/>
    <col min="14853" max="14853" width="7" style="100" customWidth="1"/>
    <col min="14854" max="14855" width="0" style="100" hidden="1" customWidth="1"/>
    <col min="14856" max="14856" width="8" style="100" customWidth="1"/>
    <col min="14857" max="14857" width="11.42578125" style="100" customWidth="1"/>
    <col min="14858" max="14860" width="0" style="100" hidden="1" customWidth="1"/>
    <col min="14861" max="15101" width="9.140625" style="100" customWidth="1"/>
    <col min="15102" max="15104" width="4" style="100"/>
    <col min="15105" max="15105" width="4.85546875" style="100" customWidth="1"/>
    <col min="15106" max="15106" width="10.42578125" style="100" customWidth="1"/>
    <col min="15107" max="15107" width="8.7109375" style="100" customWidth="1"/>
    <col min="15108" max="15108" width="59.42578125" style="100" customWidth="1"/>
    <col min="15109" max="15109" width="7" style="100" customWidth="1"/>
    <col min="15110" max="15111" width="0" style="100" hidden="1" customWidth="1"/>
    <col min="15112" max="15112" width="8" style="100" customWidth="1"/>
    <col min="15113" max="15113" width="11.42578125" style="100" customWidth="1"/>
    <col min="15114" max="15116" width="0" style="100" hidden="1" customWidth="1"/>
    <col min="15117" max="15357" width="9.140625" style="100" customWidth="1"/>
    <col min="15358" max="15360" width="4" style="100"/>
    <col min="15361" max="15361" width="4.85546875" style="100" customWidth="1"/>
    <col min="15362" max="15362" width="10.42578125" style="100" customWidth="1"/>
    <col min="15363" max="15363" width="8.7109375" style="100" customWidth="1"/>
    <col min="15364" max="15364" width="59.42578125" style="100" customWidth="1"/>
    <col min="15365" max="15365" width="7" style="100" customWidth="1"/>
    <col min="15366" max="15367" width="0" style="100" hidden="1" customWidth="1"/>
    <col min="15368" max="15368" width="8" style="100" customWidth="1"/>
    <col min="15369" max="15369" width="11.42578125" style="100" customWidth="1"/>
    <col min="15370" max="15372" width="0" style="100" hidden="1" customWidth="1"/>
    <col min="15373" max="15613" width="9.140625" style="100" customWidth="1"/>
    <col min="15614" max="15616" width="4" style="100"/>
    <col min="15617" max="15617" width="4.85546875" style="100" customWidth="1"/>
    <col min="15618" max="15618" width="10.42578125" style="100" customWidth="1"/>
    <col min="15619" max="15619" width="8.7109375" style="100" customWidth="1"/>
    <col min="15620" max="15620" width="59.42578125" style="100" customWidth="1"/>
    <col min="15621" max="15621" width="7" style="100" customWidth="1"/>
    <col min="15622" max="15623" width="0" style="100" hidden="1" customWidth="1"/>
    <col min="15624" max="15624" width="8" style="100" customWidth="1"/>
    <col min="15625" max="15625" width="11.42578125" style="100" customWidth="1"/>
    <col min="15626" max="15628" width="0" style="100" hidden="1" customWidth="1"/>
    <col min="15629" max="15869" width="9.140625" style="100" customWidth="1"/>
    <col min="15870" max="15872" width="4" style="100"/>
    <col min="15873" max="15873" width="4.85546875" style="100" customWidth="1"/>
    <col min="15874" max="15874" width="10.42578125" style="100" customWidth="1"/>
    <col min="15875" max="15875" width="8.7109375" style="100" customWidth="1"/>
    <col min="15876" max="15876" width="59.42578125" style="100" customWidth="1"/>
    <col min="15877" max="15877" width="7" style="100" customWidth="1"/>
    <col min="15878" max="15879" width="0" style="100" hidden="1" customWidth="1"/>
    <col min="15880" max="15880" width="8" style="100" customWidth="1"/>
    <col min="15881" max="15881" width="11.42578125" style="100" customWidth="1"/>
    <col min="15882" max="15884" width="0" style="100" hidden="1" customWidth="1"/>
    <col min="15885" max="16125" width="9.140625" style="100" customWidth="1"/>
    <col min="16126" max="16128" width="4" style="100"/>
    <col min="16129" max="16129" width="4.85546875" style="100" customWidth="1"/>
    <col min="16130" max="16130" width="10.42578125" style="100" customWidth="1"/>
    <col min="16131" max="16131" width="8.7109375" style="100" customWidth="1"/>
    <col min="16132" max="16132" width="59.42578125" style="100" customWidth="1"/>
    <col min="16133" max="16133" width="7" style="100" customWidth="1"/>
    <col min="16134" max="16135" width="0" style="100" hidden="1" customWidth="1"/>
    <col min="16136" max="16136" width="8" style="100" customWidth="1"/>
    <col min="16137" max="16137" width="11.42578125" style="100" customWidth="1"/>
    <col min="16138" max="16140" width="0" style="100" hidden="1" customWidth="1"/>
    <col min="16141" max="16381" width="9.140625" style="100" customWidth="1"/>
    <col min="16382" max="16384" width="4" style="100"/>
  </cols>
  <sheetData>
    <row r="1" spans="1:256" ht="22.5" customHeight="1">
      <c r="A1" s="98"/>
      <c r="B1" s="203" t="s">
        <v>686</v>
      </c>
      <c r="C1" s="203"/>
      <c r="D1" s="203"/>
      <c r="E1" s="203"/>
      <c r="F1" s="203"/>
      <c r="G1" s="203"/>
      <c r="H1" s="203"/>
      <c r="I1" s="203"/>
      <c r="J1" s="203"/>
      <c r="K1" s="99"/>
      <c r="IU1" s="99"/>
      <c r="IV1" s="99"/>
    </row>
    <row r="2" spans="1:256">
      <c r="A2" s="101"/>
      <c r="B2" s="102"/>
      <c r="C2" s="99"/>
      <c r="D2" s="103"/>
      <c r="E2" s="104"/>
      <c r="F2" s="104"/>
      <c r="G2" s="104"/>
      <c r="H2" s="104"/>
      <c r="I2" s="105" t="s">
        <v>687</v>
      </c>
      <c r="J2" s="106" t="s">
        <v>687</v>
      </c>
      <c r="K2" s="99"/>
      <c r="IU2" s="99"/>
      <c r="IV2" s="99"/>
    </row>
    <row r="3" spans="1:256" hidden="1">
      <c r="A3" s="101"/>
      <c r="B3" s="107" t="s">
        <v>688</v>
      </c>
      <c r="C3" s="108" t="s">
        <v>689</v>
      </c>
      <c r="D3" s="109" t="s">
        <v>690</v>
      </c>
      <c r="E3" s="107" t="s">
        <v>49</v>
      </c>
      <c r="F3" s="107">
        <v>2.89</v>
      </c>
      <c r="G3" s="107">
        <v>0</v>
      </c>
      <c r="H3" s="100" t="s">
        <v>691</v>
      </c>
      <c r="I3" s="110"/>
      <c r="J3" s="111"/>
      <c r="K3" s="99"/>
      <c r="IU3" s="99"/>
      <c r="IV3" s="99"/>
    </row>
    <row r="4" spans="1:256" hidden="1">
      <c r="A4" s="101"/>
      <c r="B4" s="112"/>
      <c r="C4" s="113"/>
      <c r="D4" s="114"/>
      <c r="E4" s="112"/>
      <c r="F4" s="112"/>
      <c r="G4" s="112"/>
      <c r="H4" s="112"/>
      <c r="I4" s="110"/>
      <c r="J4" s="111"/>
      <c r="K4" s="99"/>
      <c r="IU4" s="99"/>
      <c r="IV4" s="99"/>
    </row>
    <row r="5" spans="1:256" hidden="1">
      <c r="A5" s="115" t="s">
        <v>692</v>
      </c>
      <c r="B5" s="116"/>
      <c r="C5" s="116"/>
      <c r="D5" s="117"/>
      <c r="E5" s="116"/>
      <c r="F5" s="118">
        <v>0</v>
      </c>
      <c r="G5" s="118">
        <v>0</v>
      </c>
      <c r="H5" s="119"/>
      <c r="I5" s="120">
        <v>0</v>
      </c>
      <c r="J5" s="120">
        <v>0</v>
      </c>
      <c r="K5" s="100">
        <v>0</v>
      </c>
      <c r="L5" s="100">
        <v>2</v>
      </c>
    </row>
    <row r="6" spans="1:256" hidden="1">
      <c r="A6" s="121"/>
      <c r="B6" s="122"/>
      <c r="C6" s="122"/>
      <c r="D6" s="123"/>
      <c r="E6" s="124"/>
      <c r="F6" s="124">
        <v>0</v>
      </c>
      <c r="G6" s="124">
        <v>0</v>
      </c>
      <c r="H6" s="125"/>
      <c r="I6" s="126">
        <v>0</v>
      </c>
      <c r="J6" s="126">
        <v>0</v>
      </c>
      <c r="K6" s="100">
        <v>0</v>
      </c>
      <c r="L6" s="100" t="e">
        <f>NA()</f>
        <v>#N/A</v>
      </c>
    </row>
    <row r="7" spans="1:256" ht="12.75" hidden="1" customHeight="1">
      <c r="A7" s="121"/>
      <c r="B7" s="100"/>
      <c r="C7" s="100"/>
      <c r="D7" s="100"/>
      <c r="E7" s="100"/>
      <c r="F7" s="100"/>
      <c r="G7" s="100"/>
      <c r="H7" s="100"/>
      <c r="I7" s="100"/>
      <c r="J7" s="127"/>
      <c r="K7" s="100">
        <v>0</v>
      </c>
    </row>
    <row r="8" spans="1:256">
      <c r="A8" s="101"/>
      <c r="B8" s="112" t="s">
        <v>693</v>
      </c>
      <c r="C8" s="128" t="s">
        <v>6</v>
      </c>
      <c r="D8" s="114" t="s">
        <v>7</v>
      </c>
      <c r="E8" s="112" t="s">
        <v>8</v>
      </c>
      <c r="F8" s="112"/>
      <c r="G8" s="112"/>
      <c r="H8" s="112" t="s">
        <v>694</v>
      </c>
      <c r="I8" s="110" t="s">
        <v>695</v>
      </c>
      <c r="J8" s="111" t="s">
        <v>696</v>
      </c>
      <c r="K8" s="99"/>
      <c r="IU8" s="99"/>
      <c r="IV8" s="99"/>
    </row>
    <row r="9" spans="1:256" ht="22.5">
      <c r="A9" s="129" t="s">
        <v>697</v>
      </c>
      <c r="B9" s="130" t="s">
        <v>688</v>
      </c>
      <c r="C9" s="130" t="s">
        <v>460</v>
      </c>
      <c r="D9" s="131" t="s">
        <v>461</v>
      </c>
      <c r="E9" s="130" t="s">
        <v>49</v>
      </c>
      <c r="F9" s="132">
        <v>541.38</v>
      </c>
      <c r="G9" s="132">
        <v>76.150000000000006</v>
      </c>
      <c r="H9" s="133"/>
      <c r="I9" s="134">
        <v>541.38</v>
      </c>
      <c r="J9" s="134">
        <v>76.150000000000006</v>
      </c>
      <c r="K9" s="100">
        <v>15</v>
      </c>
      <c r="L9" s="100">
        <v>9</v>
      </c>
    </row>
    <row r="10" spans="1:256">
      <c r="A10" s="121"/>
      <c r="B10" s="135" t="s">
        <v>698</v>
      </c>
      <c r="C10" s="135" t="s">
        <v>699</v>
      </c>
      <c r="D10" s="136" t="s">
        <v>700</v>
      </c>
      <c r="E10" s="137" t="s">
        <v>255</v>
      </c>
      <c r="F10" s="137">
        <v>39.04</v>
      </c>
      <c r="G10" s="137">
        <v>0</v>
      </c>
      <c r="H10" s="138">
        <v>2</v>
      </c>
      <c r="I10" s="139">
        <v>19.52</v>
      </c>
      <c r="J10" s="139">
        <v>0</v>
      </c>
      <c r="K10" s="100">
        <v>15</v>
      </c>
      <c r="L10" s="100">
        <v>18950</v>
      </c>
    </row>
    <row r="11" spans="1:256" ht="45">
      <c r="A11" s="121"/>
      <c r="B11" s="135" t="s">
        <v>698</v>
      </c>
      <c r="C11" s="135" t="s">
        <v>701</v>
      </c>
      <c r="D11" s="136" t="s">
        <v>702</v>
      </c>
      <c r="E11" s="137" t="s">
        <v>42</v>
      </c>
      <c r="F11" s="137">
        <v>373.66</v>
      </c>
      <c r="G11" s="137">
        <v>0</v>
      </c>
      <c r="H11" s="138">
        <v>1</v>
      </c>
      <c r="I11" s="139">
        <v>373.66</v>
      </c>
      <c r="J11" s="139">
        <v>0</v>
      </c>
      <c r="K11" s="100">
        <v>15</v>
      </c>
      <c r="L11" s="100">
        <v>17618</v>
      </c>
    </row>
    <row r="12" spans="1:256" ht="22.5">
      <c r="A12" s="121"/>
      <c r="B12" s="135" t="s">
        <v>703</v>
      </c>
      <c r="C12" s="135" t="s">
        <v>704</v>
      </c>
      <c r="D12" s="136" t="s">
        <v>705</v>
      </c>
      <c r="E12" s="137" t="s">
        <v>706</v>
      </c>
      <c r="F12" s="137">
        <v>7.17</v>
      </c>
      <c r="G12" s="137">
        <v>0</v>
      </c>
      <c r="H12" s="138">
        <v>0.3</v>
      </c>
      <c r="I12" s="139">
        <v>23.9</v>
      </c>
      <c r="J12" s="139">
        <v>0</v>
      </c>
      <c r="K12" s="100">
        <v>15</v>
      </c>
      <c r="L12" s="100">
        <v>9876</v>
      </c>
    </row>
    <row r="13" spans="1:256">
      <c r="A13" s="121"/>
      <c r="B13" s="135" t="s">
        <v>707</v>
      </c>
      <c r="C13" s="135" t="s">
        <v>708</v>
      </c>
      <c r="D13" s="136" t="s">
        <v>709</v>
      </c>
      <c r="E13" s="137" t="s">
        <v>710</v>
      </c>
      <c r="F13" s="137">
        <v>2.74</v>
      </c>
      <c r="G13" s="137">
        <v>0</v>
      </c>
      <c r="H13" s="138">
        <v>0.115</v>
      </c>
      <c r="I13" s="139">
        <v>23.84</v>
      </c>
      <c r="J13" s="139">
        <v>0</v>
      </c>
      <c r="K13" s="100">
        <v>15</v>
      </c>
      <c r="L13" s="100">
        <v>7225</v>
      </c>
    </row>
    <row r="14" spans="1:256" ht="22.5">
      <c r="A14" s="121"/>
      <c r="B14" s="135" t="s">
        <v>703</v>
      </c>
      <c r="C14" s="135" t="s">
        <v>711</v>
      </c>
      <c r="D14" s="136" t="s">
        <v>712</v>
      </c>
      <c r="E14" s="137" t="s">
        <v>713</v>
      </c>
      <c r="F14" s="137">
        <v>15</v>
      </c>
      <c r="G14" s="137">
        <v>0</v>
      </c>
      <c r="H14" s="138">
        <v>2</v>
      </c>
      <c r="I14" s="139">
        <v>7.5</v>
      </c>
      <c r="J14" s="139">
        <v>0</v>
      </c>
      <c r="K14" s="100">
        <v>15</v>
      </c>
      <c r="L14" s="100">
        <v>10953</v>
      </c>
    </row>
    <row r="15" spans="1:256">
      <c r="A15" s="121"/>
      <c r="B15" s="135" t="s">
        <v>707</v>
      </c>
      <c r="C15" s="135" t="s">
        <v>714</v>
      </c>
      <c r="D15" s="136" t="s">
        <v>715</v>
      </c>
      <c r="E15" s="137" t="s">
        <v>710</v>
      </c>
      <c r="F15" s="137">
        <v>2.66</v>
      </c>
      <c r="G15" s="137">
        <v>0</v>
      </c>
      <c r="H15" s="138">
        <v>0.15</v>
      </c>
      <c r="I15" s="139">
        <v>17.77</v>
      </c>
      <c r="J15" s="139">
        <v>0</v>
      </c>
      <c r="K15" s="100">
        <v>15</v>
      </c>
      <c r="L15" s="100">
        <v>7219</v>
      </c>
    </row>
    <row r="16" spans="1:256" ht="22.5">
      <c r="A16" s="121"/>
      <c r="B16" s="135" t="s">
        <v>703</v>
      </c>
      <c r="C16" s="135" t="s">
        <v>716</v>
      </c>
      <c r="D16" s="136" t="s">
        <v>717</v>
      </c>
      <c r="E16" s="137" t="s">
        <v>433</v>
      </c>
      <c r="F16" s="137">
        <v>0.48</v>
      </c>
      <c r="G16" s="137">
        <v>0</v>
      </c>
      <c r="H16" s="138">
        <v>2</v>
      </c>
      <c r="I16" s="139">
        <v>0.24</v>
      </c>
      <c r="J16" s="139">
        <v>0</v>
      </c>
      <c r="K16" s="100">
        <v>15</v>
      </c>
      <c r="L16" s="100">
        <v>10807</v>
      </c>
    </row>
    <row r="17" spans="1:256" ht="22.5">
      <c r="A17" s="121"/>
      <c r="B17" s="135" t="s">
        <v>703</v>
      </c>
      <c r="C17" s="135" t="s">
        <v>718</v>
      </c>
      <c r="D17" s="136" t="s">
        <v>719</v>
      </c>
      <c r="E17" s="137" t="s">
        <v>433</v>
      </c>
      <c r="F17" s="137">
        <v>24.48</v>
      </c>
      <c r="G17" s="137">
        <v>0</v>
      </c>
      <c r="H17" s="138">
        <v>2</v>
      </c>
      <c r="I17" s="139">
        <v>12.24</v>
      </c>
      <c r="J17" s="139">
        <v>0</v>
      </c>
      <c r="K17" s="100">
        <v>15</v>
      </c>
      <c r="L17" s="100">
        <v>10804</v>
      </c>
    </row>
    <row r="18" spans="1:256">
      <c r="A18" s="121"/>
      <c r="B18" s="135" t="s">
        <v>720</v>
      </c>
      <c r="C18" s="135" t="s">
        <v>721</v>
      </c>
      <c r="D18" s="136" t="s">
        <v>722</v>
      </c>
      <c r="E18" s="137" t="s">
        <v>255</v>
      </c>
      <c r="F18" s="137">
        <v>76.150000000000006</v>
      </c>
      <c r="G18" s="137">
        <v>76.150000000000006</v>
      </c>
      <c r="H18" s="138">
        <v>8.3000000000000004E-2</v>
      </c>
      <c r="I18" s="139">
        <v>917.5</v>
      </c>
      <c r="J18" s="139">
        <v>917.5</v>
      </c>
      <c r="K18" s="100">
        <v>15</v>
      </c>
      <c r="L18" s="100">
        <v>61</v>
      </c>
    </row>
    <row r="19" spans="1:256">
      <c r="A19" s="101"/>
      <c r="B19" s="112"/>
      <c r="C19" s="128"/>
      <c r="D19" s="114"/>
      <c r="E19" s="112"/>
      <c r="F19" s="112"/>
      <c r="G19" s="112"/>
      <c r="H19" s="112"/>
      <c r="I19" s="110"/>
      <c r="J19" s="111"/>
      <c r="K19" s="99">
        <v>15</v>
      </c>
      <c r="IU19" s="99"/>
      <c r="IV19" s="99"/>
    </row>
    <row r="20" spans="1:256">
      <c r="A20" s="129" t="s">
        <v>723</v>
      </c>
      <c r="B20" s="130" t="s">
        <v>688</v>
      </c>
      <c r="C20" s="130" t="s">
        <v>321</v>
      </c>
      <c r="D20" s="131" t="s">
        <v>322</v>
      </c>
      <c r="E20" s="130" t="s">
        <v>49</v>
      </c>
      <c r="F20" s="132">
        <v>16.7</v>
      </c>
      <c r="G20" s="132">
        <v>0</v>
      </c>
      <c r="H20" s="133"/>
      <c r="I20" s="134">
        <v>16.7</v>
      </c>
      <c r="J20" s="134">
        <v>0</v>
      </c>
      <c r="K20" s="100">
        <v>16</v>
      </c>
      <c r="L20" s="100">
        <v>3</v>
      </c>
    </row>
    <row r="21" spans="1:256">
      <c r="A21" s="121"/>
      <c r="B21" s="135" t="s">
        <v>703</v>
      </c>
      <c r="C21" s="135" t="s">
        <v>724</v>
      </c>
      <c r="D21" s="136" t="s">
        <v>725</v>
      </c>
      <c r="E21" s="137" t="s">
        <v>706</v>
      </c>
      <c r="F21" s="137">
        <v>0.56999999999999995</v>
      </c>
      <c r="G21" s="137">
        <v>0</v>
      </c>
      <c r="H21" s="138">
        <v>2.1299999999999999E-2</v>
      </c>
      <c r="I21" s="139">
        <v>26.95</v>
      </c>
      <c r="J21" s="139">
        <v>0</v>
      </c>
      <c r="K21" s="100">
        <v>16</v>
      </c>
      <c r="L21" s="100">
        <v>9275</v>
      </c>
    </row>
    <row r="22" spans="1:256">
      <c r="A22" s="121"/>
      <c r="B22" s="135" t="s">
        <v>703</v>
      </c>
      <c r="C22" s="135" t="s">
        <v>726</v>
      </c>
      <c r="D22" s="136" t="s">
        <v>727</v>
      </c>
      <c r="E22" s="137" t="s">
        <v>706</v>
      </c>
      <c r="F22" s="137">
        <v>6.38</v>
      </c>
      <c r="G22" s="137">
        <v>0</v>
      </c>
      <c r="H22" s="138">
        <v>0.21299999999999999</v>
      </c>
      <c r="I22" s="139">
        <v>29.98</v>
      </c>
      <c r="J22" s="139">
        <v>0</v>
      </c>
      <c r="K22" s="100">
        <v>16</v>
      </c>
      <c r="L22" s="100">
        <v>11926</v>
      </c>
    </row>
    <row r="23" spans="1:256">
      <c r="A23" s="121"/>
      <c r="B23" s="135" t="s">
        <v>707</v>
      </c>
      <c r="C23" s="135" t="s">
        <v>728</v>
      </c>
      <c r="D23" s="136" t="s">
        <v>729</v>
      </c>
      <c r="E23" s="137" t="s">
        <v>710</v>
      </c>
      <c r="F23" s="137">
        <v>9.75</v>
      </c>
      <c r="G23" s="137">
        <v>0</v>
      </c>
      <c r="H23" s="138">
        <v>0.38</v>
      </c>
      <c r="I23" s="139">
        <v>25.66</v>
      </c>
      <c r="J23" s="139">
        <v>0</v>
      </c>
      <c r="K23" s="100">
        <v>16</v>
      </c>
      <c r="L23" s="100">
        <v>7213</v>
      </c>
    </row>
    <row r="24" spans="1:256">
      <c r="A24" s="101"/>
      <c r="B24" s="112"/>
      <c r="C24" s="128"/>
      <c r="D24" s="114"/>
      <c r="E24" s="112"/>
      <c r="F24" s="112"/>
      <c r="G24" s="112"/>
      <c r="H24" s="112"/>
      <c r="I24" s="110"/>
      <c r="J24" s="111"/>
      <c r="K24" s="99">
        <v>16</v>
      </c>
      <c r="IU24" s="99"/>
      <c r="IV24" s="99"/>
    </row>
    <row r="25" spans="1:256">
      <c r="A25" s="129" t="s">
        <v>730</v>
      </c>
      <c r="B25" s="130" t="s">
        <v>688</v>
      </c>
      <c r="C25" s="130" t="s">
        <v>731</v>
      </c>
      <c r="D25" s="131" t="s">
        <v>732</v>
      </c>
      <c r="E25" s="130" t="s">
        <v>20</v>
      </c>
      <c r="F25" s="132">
        <v>131.78</v>
      </c>
      <c r="G25" s="132">
        <v>0</v>
      </c>
      <c r="H25" s="133"/>
      <c r="I25" s="134">
        <v>131.78</v>
      </c>
      <c r="J25" s="134">
        <v>0</v>
      </c>
      <c r="K25" s="100">
        <v>17</v>
      </c>
      <c r="L25" s="100">
        <v>3</v>
      </c>
    </row>
    <row r="26" spans="1:256">
      <c r="A26" s="121"/>
      <c r="B26" s="135" t="s">
        <v>707</v>
      </c>
      <c r="C26" s="135" t="s">
        <v>733</v>
      </c>
      <c r="D26" s="136" t="s">
        <v>734</v>
      </c>
      <c r="E26" s="137" t="s">
        <v>710</v>
      </c>
      <c r="F26" s="137">
        <v>48.86</v>
      </c>
      <c r="G26" s="137">
        <v>0</v>
      </c>
      <c r="H26" s="138">
        <v>2</v>
      </c>
      <c r="I26" s="139">
        <v>24.43</v>
      </c>
      <c r="J26" s="139">
        <v>0</v>
      </c>
      <c r="K26" s="100">
        <v>17</v>
      </c>
      <c r="L26" s="100">
        <v>7212</v>
      </c>
    </row>
    <row r="27" spans="1:256">
      <c r="A27" s="121"/>
      <c r="B27" s="135" t="s">
        <v>707</v>
      </c>
      <c r="C27" s="135" t="s">
        <v>714</v>
      </c>
      <c r="D27" s="136" t="s">
        <v>715</v>
      </c>
      <c r="E27" s="137" t="s">
        <v>710</v>
      </c>
      <c r="F27" s="137">
        <v>35.54</v>
      </c>
      <c r="G27" s="137">
        <v>0</v>
      </c>
      <c r="H27" s="138">
        <v>2</v>
      </c>
      <c r="I27" s="139">
        <v>17.77</v>
      </c>
      <c r="J27" s="139">
        <v>0</v>
      </c>
      <c r="K27" s="100">
        <v>17</v>
      </c>
      <c r="L27" s="100">
        <v>7219</v>
      </c>
    </row>
    <row r="28" spans="1:256">
      <c r="A28" s="121"/>
      <c r="B28" s="135" t="s">
        <v>707</v>
      </c>
      <c r="C28" s="135" t="s">
        <v>735</v>
      </c>
      <c r="D28" s="136" t="s">
        <v>736</v>
      </c>
      <c r="E28" s="137" t="s">
        <v>710</v>
      </c>
      <c r="F28" s="137">
        <v>47.38</v>
      </c>
      <c r="G28" s="137">
        <v>0</v>
      </c>
      <c r="H28" s="138">
        <v>2</v>
      </c>
      <c r="I28" s="139">
        <v>23.69</v>
      </c>
      <c r="J28" s="139">
        <v>0</v>
      </c>
      <c r="K28" s="100">
        <v>17</v>
      </c>
      <c r="L28" s="100">
        <v>7178</v>
      </c>
    </row>
    <row r="29" spans="1:256">
      <c r="A29" s="101"/>
      <c r="B29" s="112"/>
      <c r="C29" s="128"/>
      <c r="D29" s="114"/>
      <c r="E29" s="112"/>
      <c r="F29" s="112"/>
      <c r="G29" s="112"/>
      <c r="H29" s="112"/>
      <c r="I29" s="110"/>
      <c r="J29" s="111"/>
      <c r="K29" s="99">
        <v>17</v>
      </c>
      <c r="IU29" s="99"/>
      <c r="IV29" s="99"/>
    </row>
    <row r="30" spans="1:256" ht="33.75">
      <c r="A30" s="129" t="s">
        <v>737</v>
      </c>
      <c r="B30" s="130" t="s">
        <v>688</v>
      </c>
      <c r="C30" s="130" t="s">
        <v>240</v>
      </c>
      <c r="D30" s="131" t="s">
        <v>738</v>
      </c>
      <c r="E30" s="130" t="s">
        <v>20</v>
      </c>
      <c r="F30" s="132">
        <v>6001.98</v>
      </c>
      <c r="G30" s="132">
        <v>0</v>
      </c>
      <c r="H30" s="133"/>
      <c r="I30" s="134">
        <v>6001.98</v>
      </c>
      <c r="J30" s="134">
        <v>0</v>
      </c>
      <c r="K30" s="100">
        <v>18</v>
      </c>
      <c r="L30" s="100">
        <v>6</v>
      </c>
    </row>
    <row r="31" spans="1:256" ht="45">
      <c r="A31" s="121"/>
      <c r="B31" s="135" t="s">
        <v>703</v>
      </c>
      <c r="C31" s="135" t="s">
        <v>739</v>
      </c>
      <c r="D31" s="136" t="s">
        <v>740</v>
      </c>
      <c r="E31" s="137" t="s">
        <v>741</v>
      </c>
      <c r="F31" s="137">
        <v>146.82</v>
      </c>
      <c r="G31" s="137">
        <v>0</v>
      </c>
      <c r="H31" s="138">
        <v>1</v>
      </c>
      <c r="I31" s="139">
        <v>146.82</v>
      </c>
      <c r="J31" s="139">
        <v>0</v>
      </c>
      <c r="K31" s="100">
        <v>18</v>
      </c>
      <c r="L31" s="100">
        <v>8954</v>
      </c>
    </row>
    <row r="32" spans="1:256" ht="22.5">
      <c r="A32" s="121"/>
      <c r="B32" s="135" t="s">
        <v>707</v>
      </c>
      <c r="C32" s="135" t="s">
        <v>742</v>
      </c>
      <c r="D32" s="136" t="s">
        <v>743</v>
      </c>
      <c r="E32" s="137" t="s">
        <v>49</v>
      </c>
      <c r="F32" s="137">
        <v>4477.03</v>
      </c>
      <c r="G32" s="137">
        <v>0</v>
      </c>
      <c r="H32" s="138">
        <v>3.15</v>
      </c>
      <c r="I32" s="139">
        <v>1421.28</v>
      </c>
      <c r="J32" s="139">
        <v>0</v>
      </c>
      <c r="K32" s="100">
        <v>18</v>
      </c>
      <c r="L32" s="100">
        <v>2159</v>
      </c>
    </row>
    <row r="33" spans="1:256">
      <c r="A33" s="121"/>
      <c r="B33" s="135" t="s">
        <v>707</v>
      </c>
      <c r="C33" s="135" t="s">
        <v>744</v>
      </c>
      <c r="D33" s="136" t="s">
        <v>745</v>
      </c>
      <c r="E33" s="137" t="s">
        <v>49</v>
      </c>
      <c r="F33" s="137">
        <v>249.33</v>
      </c>
      <c r="G33" s="137">
        <v>0</v>
      </c>
      <c r="H33" s="138">
        <v>0.75</v>
      </c>
      <c r="I33" s="139">
        <v>332.44</v>
      </c>
      <c r="J33" s="139">
        <v>0</v>
      </c>
      <c r="K33" s="100">
        <v>18</v>
      </c>
      <c r="L33" s="100">
        <v>2161</v>
      </c>
    </row>
    <row r="34" spans="1:256" ht="22.5">
      <c r="A34" s="121"/>
      <c r="B34" s="135" t="s">
        <v>703</v>
      </c>
      <c r="C34" s="135" t="s">
        <v>746</v>
      </c>
      <c r="D34" s="136" t="s">
        <v>747</v>
      </c>
      <c r="E34" s="137" t="s">
        <v>748</v>
      </c>
      <c r="F34" s="137">
        <v>1048.72</v>
      </c>
      <c r="G34" s="137">
        <v>0</v>
      </c>
      <c r="H34" s="138">
        <v>3.15</v>
      </c>
      <c r="I34" s="139">
        <v>332.93</v>
      </c>
      <c r="J34" s="139">
        <v>0</v>
      </c>
      <c r="K34" s="100">
        <v>18</v>
      </c>
      <c r="L34" s="100">
        <v>11139</v>
      </c>
    </row>
    <row r="35" spans="1:256">
      <c r="A35" s="121"/>
      <c r="B35" s="135" t="s">
        <v>707</v>
      </c>
      <c r="C35" s="135" t="s">
        <v>749</v>
      </c>
      <c r="D35" s="136" t="s">
        <v>750</v>
      </c>
      <c r="E35" s="137" t="s">
        <v>710</v>
      </c>
      <c r="F35" s="137">
        <v>42.59</v>
      </c>
      <c r="G35" s="137">
        <v>0</v>
      </c>
      <c r="H35" s="138">
        <v>2.16</v>
      </c>
      <c r="I35" s="139">
        <v>19.72</v>
      </c>
      <c r="J35" s="139">
        <v>0</v>
      </c>
      <c r="K35" s="100">
        <v>18</v>
      </c>
      <c r="L35" s="100">
        <v>7227</v>
      </c>
    </row>
    <row r="36" spans="1:256">
      <c r="A36" s="121"/>
      <c r="B36" s="135" t="s">
        <v>707</v>
      </c>
      <c r="C36" s="135" t="s">
        <v>714</v>
      </c>
      <c r="D36" s="136" t="s">
        <v>715</v>
      </c>
      <c r="E36" s="137" t="s">
        <v>710</v>
      </c>
      <c r="F36" s="137">
        <v>37.49</v>
      </c>
      <c r="G36" s="137">
        <v>0</v>
      </c>
      <c r="H36" s="138">
        <v>2.11</v>
      </c>
      <c r="I36" s="139">
        <v>17.77</v>
      </c>
      <c r="J36" s="139">
        <v>0</v>
      </c>
      <c r="K36" s="100">
        <v>18</v>
      </c>
      <c r="L36" s="100">
        <v>7219</v>
      </c>
    </row>
    <row r="37" spans="1:256">
      <c r="A37" s="101"/>
      <c r="B37" s="112"/>
      <c r="C37" s="128"/>
      <c r="D37" s="114"/>
      <c r="E37" s="112"/>
      <c r="F37" s="112"/>
      <c r="G37" s="112"/>
      <c r="H37" s="112"/>
      <c r="I37" s="110"/>
      <c r="J37" s="111"/>
      <c r="K37" s="99">
        <v>18</v>
      </c>
      <c r="IU37" s="99"/>
      <c r="IV37" s="99"/>
    </row>
    <row r="38" spans="1:256" ht="22.5">
      <c r="A38" s="129" t="s">
        <v>751</v>
      </c>
      <c r="B38" s="130" t="s">
        <v>688</v>
      </c>
      <c r="C38" s="130" t="s">
        <v>280</v>
      </c>
      <c r="D38" s="131" t="s">
        <v>281</v>
      </c>
      <c r="E38" s="130" t="s">
        <v>20</v>
      </c>
      <c r="F38" s="132">
        <v>25453.96</v>
      </c>
      <c r="G38" s="132">
        <v>0</v>
      </c>
      <c r="H38" s="133"/>
      <c r="I38" s="134">
        <v>25453.96</v>
      </c>
      <c r="J38" s="134">
        <v>0</v>
      </c>
      <c r="K38" s="100">
        <v>19</v>
      </c>
      <c r="L38" s="100">
        <v>9</v>
      </c>
    </row>
    <row r="39" spans="1:256" ht="22.5">
      <c r="A39" s="121"/>
      <c r="B39" s="135" t="s">
        <v>703</v>
      </c>
      <c r="C39" s="135" t="s">
        <v>752</v>
      </c>
      <c r="D39" s="136" t="s">
        <v>753</v>
      </c>
      <c r="E39" s="137" t="s">
        <v>748</v>
      </c>
      <c r="F39" s="137">
        <v>13359.47</v>
      </c>
      <c r="G39" s="137">
        <v>0</v>
      </c>
      <c r="H39" s="138">
        <v>17.850000000000001</v>
      </c>
      <c r="I39" s="139">
        <v>748.43</v>
      </c>
      <c r="J39" s="139">
        <v>0</v>
      </c>
      <c r="K39" s="100">
        <v>19</v>
      </c>
      <c r="L39" s="100">
        <v>11143</v>
      </c>
    </row>
    <row r="40" spans="1:256">
      <c r="A40" s="121"/>
      <c r="B40" s="135" t="s">
        <v>754</v>
      </c>
      <c r="C40" s="135" t="s">
        <v>755</v>
      </c>
      <c r="D40" s="136" t="s">
        <v>756</v>
      </c>
      <c r="E40" s="137" t="s">
        <v>185</v>
      </c>
      <c r="F40" s="137">
        <v>9732.52</v>
      </c>
      <c r="G40" s="137">
        <v>0</v>
      </c>
      <c r="H40" s="138">
        <v>28</v>
      </c>
      <c r="I40" s="139">
        <v>347.59</v>
      </c>
      <c r="J40" s="139">
        <v>0</v>
      </c>
      <c r="K40" s="100">
        <v>19</v>
      </c>
      <c r="L40" s="100">
        <v>13942</v>
      </c>
    </row>
    <row r="41" spans="1:256" ht="22.5">
      <c r="A41" s="121"/>
      <c r="B41" s="135" t="s">
        <v>698</v>
      </c>
      <c r="C41" s="135" t="s">
        <v>757</v>
      </c>
      <c r="D41" s="136" t="s">
        <v>758</v>
      </c>
      <c r="E41" s="137" t="s">
        <v>42</v>
      </c>
      <c r="F41" s="137">
        <v>1011.88</v>
      </c>
      <c r="G41" s="137">
        <v>0</v>
      </c>
      <c r="H41" s="138">
        <v>10.5</v>
      </c>
      <c r="I41" s="139">
        <v>96.37</v>
      </c>
      <c r="J41" s="139">
        <v>0</v>
      </c>
      <c r="K41" s="100">
        <v>19</v>
      </c>
      <c r="L41" s="100">
        <v>17448</v>
      </c>
    </row>
    <row r="42" spans="1:256">
      <c r="A42" s="121"/>
      <c r="B42" s="135" t="s">
        <v>754</v>
      </c>
      <c r="C42" s="135" t="s">
        <v>759</v>
      </c>
      <c r="D42" s="136" t="s">
        <v>760</v>
      </c>
      <c r="E42" s="137" t="s">
        <v>147</v>
      </c>
      <c r="F42" s="137">
        <v>213.48</v>
      </c>
      <c r="G42" s="137">
        <v>0</v>
      </c>
      <c r="H42" s="138">
        <v>17.600000000000001</v>
      </c>
      <c r="I42" s="139">
        <v>12.13</v>
      </c>
      <c r="J42" s="139">
        <v>0</v>
      </c>
      <c r="K42" s="100">
        <v>19</v>
      </c>
      <c r="L42" s="100">
        <v>14622</v>
      </c>
    </row>
    <row r="43" spans="1:256" ht="22.5">
      <c r="A43" s="121"/>
      <c r="B43" s="135" t="s">
        <v>698</v>
      </c>
      <c r="C43" s="135" t="s">
        <v>761</v>
      </c>
      <c r="D43" s="136" t="s">
        <v>762</v>
      </c>
      <c r="E43" s="137" t="s">
        <v>42</v>
      </c>
      <c r="F43" s="137">
        <v>117.92</v>
      </c>
      <c r="G43" s="137">
        <v>0</v>
      </c>
      <c r="H43" s="138">
        <v>2.2000000000000002</v>
      </c>
      <c r="I43" s="139">
        <v>53.6</v>
      </c>
      <c r="J43" s="139">
        <v>0</v>
      </c>
      <c r="K43" s="100">
        <v>19</v>
      </c>
      <c r="L43" s="100">
        <v>17324</v>
      </c>
    </row>
    <row r="44" spans="1:256" ht="22.5">
      <c r="A44" s="121"/>
      <c r="B44" s="135" t="s">
        <v>698</v>
      </c>
      <c r="C44" s="135" t="s">
        <v>763</v>
      </c>
      <c r="D44" s="136" t="s">
        <v>764</v>
      </c>
      <c r="E44" s="137" t="s">
        <v>86</v>
      </c>
      <c r="F44" s="137">
        <v>106.87</v>
      </c>
      <c r="G44" s="137">
        <v>0</v>
      </c>
      <c r="H44" s="138">
        <v>0.22</v>
      </c>
      <c r="I44" s="139">
        <v>485.78</v>
      </c>
      <c r="J44" s="139">
        <v>0</v>
      </c>
      <c r="K44" s="100">
        <v>19</v>
      </c>
      <c r="L44" s="100">
        <v>20094</v>
      </c>
    </row>
    <row r="45" spans="1:256">
      <c r="A45" s="121"/>
      <c r="B45" s="135" t="s">
        <v>754</v>
      </c>
      <c r="C45" s="135" t="s">
        <v>765</v>
      </c>
      <c r="D45" s="136" t="s">
        <v>766</v>
      </c>
      <c r="E45" s="137" t="s">
        <v>49</v>
      </c>
      <c r="F45" s="137">
        <v>162.96</v>
      </c>
      <c r="G45" s="137">
        <v>0</v>
      </c>
      <c r="H45" s="138">
        <v>21</v>
      </c>
      <c r="I45" s="139">
        <v>7.76</v>
      </c>
      <c r="J45" s="139">
        <v>0</v>
      </c>
      <c r="K45" s="100">
        <v>19</v>
      </c>
      <c r="L45" s="100">
        <v>14015</v>
      </c>
    </row>
    <row r="46" spans="1:256">
      <c r="A46" s="121"/>
      <c r="B46" s="135" t="s">
        <v>754</v>
      </c>
      <c r="C46" s="135" t="s">
        <v>767</v>
      </c>
      <c r="D46" s="136" t="s">
        <v>768</v>
      </c>
      <c r="E46" s="137" t="s">
        <v>49</v>
      </c>
      <c r="F46" s="137">
        <v>748.86</v>
      </c>
      <c r="G46" s="137">
        <v>0</v>
      </c>
      <c r="H46" s="138">
        <v>21</v>
      </c>
      <c r="I46" s="139">
        <v>35.659999999999997</v>
      </c>
      <c r="J46" s="139">
        <v>0</v>
      </c>
      <c r="K46" s="100">
        <v>19</v>
      </c>
      <c r="L46" s="100">
        <v>14019</v>
      </c>
    </row>
    <row r="47" spans="1:256">
      <c r="A47" s="121"/>
      <c r="B47" s="135"/>
      <c r="C47" s="135"/>
      <c r="D47" s="136"/>
      <c r="E47" s="137"/>
      <c r="F47" s="137">
        <v>0</v>
      </c>
      <c r="G47" s="137">
        <v>0</v>
      </c>
      <c r="H47" s="138"/>
      <c r="I47" s="139">
        <v>0</v>
      </c>
      <c r="J47" s="139">
        <v>0</v>
      </c>
      <c r="K47" s="100">
        <v>19</v>
      </c>
      <c r="L47" s="100" t="e">
        <f>NA()</f>
        <v>#N/A</v>
      </c>
    </row>
    <row r="48" spans="1:256">
      <c r="A48" s="101"/>
      <c r="B48" s="112"/>
      <c r="C48" s="128"/>
      <c r="D48" s="114"/>
      <c r="E48" s="112"/>
      <c r="F48" s="112"/>
      <c r="G48" s="112"/>
      <c r="H48" s="112"/>
      <c r="I48" s="110"/>
      <c r="J48" s="111"/>
      <c r="K48" s="99">
        <v>19</v>
      </c>
      <c r="IU48" s="99"/>
      <c r="IV48" s="99"/>
    </row>
    <row r="49" spans="1:256">
      <c r="A49" s="129" t="s">
        <v>769</v>
      </c>
      <c r="B49" s="130" t="s">
        <v>688</v>
      </c>
      <c r="C49" s="130" t="s">
        <v>257</v>
      </c>
      <c r="D49" s="131" t="s">
        <v>258</v>
      </c>
      <c r="E49" s="130" t="s">
        <v>20</v>
      </c>
      <c r="F49" s="132">
        <v>967.98</v>
      </c>
      <c r="G49" s="132">
        <v>0</v>
      </c>
      <c r="H49" s="133"/>
      <c r="I49" s="134">
        <v>967.98</v>
      </c>
      <c r="J49" s="134">
        <v>0</v>
      </c>
      <c r="K49" s="100">
        <v>20</v>
      </c>
      <c r="L49" s="100">
        <v>7</v>
      </c>
    </row>
    <row r="50" spans="1:256">
      <c r="A50" s="121"/>
      <c r="B50" s="135" t="s">
        <v>698</v>
      </c>
      <c r="C50" s="135" t="s">
        <v>770</v>
      </c>
      <c r="D50" s="136" t="s">
        <v>771</v>
      </c>
      <c r="E50" s="137" t="s">
        <v>255</v>
      </c>
      <c r="F50" s="137">
        <v>360.09</v>
      </c>
      <c r="G50" s="137">
        <v>0</v>
      </c>
      <c r="H50" s="138">
        <v>1</v>
      </c>
      <c r="I50" s="139">
        <v>360.09</v>
      </c>
      <c r="J50" s="139">
        <v>0</v>
      </c>
      <c r="K50" s="100">
        <v>20</v>
      </c>
      <c r="L50" s="100">
        <v>17554</v>
      </c>
    </row>
    <row r="51" spans="1:256" ht="22.5">
      <c r="A51" s="121"/>
      <c r="B51" s="135" t="s">
        <v>703</v>
      </c>
      <c r="C51" s="135" t="s">
        <v>772</v>
      </c>
      <c r="D51" s="136" t="s">
        <v>773</v>
      </c>
      <c r="E51" s="137" t="s">
        <v>741</v>
      </c>
      <c r="F51" s="137">
        <v>72.239999999999995</v>
      </c>
      <c r="G51" s="137">
        <v>0</v>
      </c>
      <c r="H51" s="138">
        <v>1</v>
      </c>
      <c r="I51" s="139">
        <v>72.239999999999995</v>
      </c>
      <c r="J51" s="139">
        <v>0</v>
      </c>
      <c r="K51" s="100">
        <v>20</v>
      </c>
      <c r="L51" s="100">
        <v>9613</v>
      </c>
    </row>
    <row r="52" spans="1:256" ht="22.5">
      <c r="A52" s="121"/>
      <c r="B52" s="135" t="s">
        <v>754</v>
      </c>
      <c r="C52" s="135" t="s">
        <v>774</v>
      </c>
      <c r="D52" s="136" t="s">
        <v>775</v>
      </c>
      <c r="E52" s="137" t="s">
        <v>248</v>
      </c>
      <c r="F52" s="137">
        <v>253.29</v>
      </c>
      <c r="G52" s="137">
        <v>0</v>
      </c>
      <c r="H52" s="138">
        <v>1</v>
      </c>
      <c r="I52" s="139">
        <v>253.29</v>
      </c>
      <c r="J52" s="139">
        <v>0</v>
      </c>
      <c r="K52" s="100">
        <v>20</v>
      </c>
      <c r="L52" s="100">
        <v>13922</v>
      </c>
    </row>
    <row r="53" spans="1:256" ht="22.5">
      <c r="A53" s="121"/>
      <c r="B53" s="135" t="s">
        <v>703</v>
      </c>
      <c r="C53" s="135">
        <v>43612</v>
      </c>
      <c r="D53" s="136" t="s">
        <v>776</v>
      </c>
      <c r="E53" s="137" t="s">
        <v>741</v>
      </c>
      <c r="F53" s="137">
        <v>92.73</v>
      </c>
      <c r="G53" s="137">
        <v>0</v>
      </c>
      <c r="H53" s="138">
        <v>1</v>
      </c>
      <c r="I53" s="139">
        <v>92.73</v>
      </c>
      <c r="J53" s="139">
        <v>0</v>
      </c>
      <c r="K53" s="100">
        <v>20</v>
      </c>
      <c r="L53" s="100">
        <v>9592</v>
      </c>
    </row>
    <row r="54" spans="1:256" ht="22.5">
      <c r="A54" s="121"/>
      <c r="B54" s="135" t="s">
        <v>703</v>
      </c>
      <c r="C54" s="135">
        <v>11575</v>
      </c>
      <c r="D54" s="136" t="s">
        <v>777</v>
      </c>
      <c r="E54" s="137" t="s">
        <v>433</v>
      </c>
      <c r="F54" s="137">
        <v>58.68</v>
      </c>
      <c r="G54" s="137">
        <v>0</v>
      </c>
      <c r="H54" s="138">
        <v>1</v>
      </c>
      <c r="I54" s="139">
        <v>58.68</v>
      </c>
      <c r="J54" s="139">
        <v>0</v>
      </c>
      <c r="K54" s="100">
        <v>20</v>
      </c>
      <c r="L54" s="100">
        <v>11414</v>
      </c>
    </row>
    <row r="55" spans="1:256">
      <c r="A55" s="121"/>
      <c r="B55" s="135" t="s">
        <v>707</v>
      </c>
      <c r="C55" s="135" t="s">
        <v>778</v>
      </c>
      <c r="D55" s="136" t="s">
        <v>779</v>
      </c>
      <c r="E55" s="137" t="s">
        <v>710</v>
      </c>
      <c r="F55" s="137">
        <v>72.45</v>
      </c>
      <c r="G55" s="137">
        <v>0</v>
      </c>
      <c r="H55" s="138">
        <v>3</v>
      </c>
      <c r="I55" s="139">
        <v>24.15</v>
      </c>
      <c r="J55" s="139">
        <v>0</v>
      </c>
      <c r="K55" s="100">
        <v>20</v>
      </c>
      <c r="L55" s="100">
        <v>7182</v>
      </c>
    </row>
    <row r="56" spans="1:256">
      <c r="A56" s="121"/>
      <c r="B56" s="135" t="s">
        <v>707</v>
      </c>
      <c r="C56" s="135" t="s">
        <v>780</v>
      </c>
      <c r="D56" s="136" t="s">
        <v>781</v>
      </c>
      <c r="E56" s="137" t="s">
        <v>710</v>
      </c>
      <c r="F56" s="137">
        <v>58.5</v>
      </c>
      <c r="G56" s="137">
        <v>0</v>
      </c>
      <c r="H56" s="138">
        <v>3</v>
      </c>
      <c r="I56" s="139">
        <v>19.5</v>
      </c>
      <c r="J56" s="139">
        <v>0</v>
      </c>
      <c r="K56" s="100">
        <v>20</v>
      </c>
      <c r="L56" s="100">
        <v>7157</v>
      </c>
    </row>
    <row r="57" spans="1:256">
      <c r="A57" s="101"/>
      <c r="B57" s="112"/>
      <c r="C57" s="128"/>
      <c r="D57" s="114"/>
      <c r="E57" s="112"/>
      <c r="F57" s="112"/>
      <c r="G57" s="112"/>
      <c r="H57" s="112"/>
      <c r="I57" s="110"/>
      <c r="J57" s="111"/>
      <c r="K57" s="99">
        <v>20</v>
      </c>
      <c r="IU57" s="99"/>
      <c r="IV57" s="99"/>
    </row>
    <row r="58" spans="1:256" ht="22.5">
      <c r="A58" s="129" t="s">
        <v>782</v>
      </c>
      <c r="B58" s="130" t="s">
        <v>688</v>
      </c>
      <c r="C58" s="130" t="s">
        <v>202</v>
      </c>
      <c r="D58" s="131" t="s">
        <v>203</v>
      </c>
      <c r="E58" s="130" t="s">
        <v>185</v>
      </c>
      <c r="F58" s="132">
        <v>16.72</v>
      </c>
      <c r="G58" s="132">
        <v>0</v>
      </c>
      <c r="H58" s="133"/>
      <c r="I58" s="134">
        <v>16.72</v>
      </c>
      <c r="J58" s="134">
        <v>0</v>
      </c>
      <c r="K58" s="100">
        <v>21</v>
      </c>
      <c r="L58" s="100">
        <v>5</v>
      </c>
    </row>
    <row r="59" spans="1:256">
      <c r="A59" s="121"/>
      <c r="B59" s="135" t="s">
        <v>703</v>
      </c>
      <c r="C59" s="135" t="s">
        <v>783</v>
      </c>
      <c r="D59" s="136" t="s">
        <v>784</v>
      </c>
      <c r="E59" s="137" t="s">
        <v>748</v>
      </c>
      <c r="F59" s="137">
        <v>12.63</v>
      </c>
      <c r="G59" s="137">
        <v>0</v>
      </c>
      <c r="H59" s="138">
        <v>0.15</v>
      </c>
      <c r="I59" s="139">
        <v>84.22</v>
      </c>
      <c r="J59" s="139">
        <v>0</v>
      </c>
      <c r="K59" s="100">
        <v>21</v>
      </c>
      <c r="L59" s="100">
        <v>11001</v>
      </c>
    </row>
    <row r="60" spans="1:256">
      <c r="A60" s="121"/>
      <c r="B60" s="135" t="s">
        <v>703</v>
      </c>
      <c r="C60" s="135" t="s">
        <v>785</v>
      </c>
      <c r="D60" s="136" t="s">
        <v>786</v>
      </c>
      <c r="E60" s="137" t="s">
        <v>787</v>
      </c>
      <c r="F60" s="137">
        <v>1.29</v>
      </c>
      <c r="G60" s="137">
        <v>0</v>
      </c>
      <c r="H60" s="138">
        <v>0.60299999999999998</v>
      </c>
      <c r="I60" s="139">
        <v>2.15</v>
      </c>
      <c r="J60" s="139">
        <v>0</v>
      </c>
      <c r="K60" s="100">
        <v>21</v>
      </c>
      <c r="L60" s="100">
        <v>7902</v>
      </c>
    </row>
    <row r="61" spans="1:256">
      <c r="A61" s="121"/>
      <c r="B61" s="135" t="s">
        <v>703</v>
      </c>
      <c r="C61" s="135" t="s">
        <v>788</v>
      </c>
      <c r="D61" s="136" t="s">
        <v>789</v>
      </c>
      <c r="E61" s="137" t="s">
        <v>787</v>
      </c>
      <c r="F61" s="137">
        <v>0.34</v>
      </c>
      <c r="G61" s="137">
        <v>0</v>
      </c>
      <c r="H61" s="138">
        <v>8.4000000000000005E-2</v>
      </c>
      <c r="I61" s="139">
        <v>4.1100000000000003</v>
      </c>
      <c r="J61" s="139">
        <v>0</v>
      </c>
      <c r="K61" s="100">
        <v>21</v>
      </c>
      <c r="L61" s="100">
        <v>11383</v>
      </c>
    </row>
    <row r="62" spans="1:256">
      <c r="A62" s="121"/>
      <c r="B62" s="135" t="s">
        <v>707</v>
      </c>
      <c r="C62" s="135" t="s">
        <v>790</v>
      </c>
      <c r="D62" s="136" t="s">
        <v>791</v>
      </c>
      <c r="E62" s="137" t="s">
        <v>710</v>
      </c>
      <c r="F62" s="137">
        <v>1.91</v>
      </c>
      <c r="G62" s="137">
        <v>0</v>
      </c>
      <c r="H62" s="138">
        <v>7.3999999999999996E-2</v>
      </c>
      <c r="I62" s="139">
        <v>25.88</v>
      </c>
      <c r="J62" s="139">
        <v>0</v>
      </c>
      <c r="K62" s="100">
        <v>21</v>
      </c>
      <c r="L62" s="100">
        <v>7168</v>
      </c>
    </row>
    <row r="63" spans="1:256">
      <c r="A63" s="121"/>
      <c r="B63" s="135" t="s">
        <v>707</v>
      </c>
      <c r="C63" s="135" t="s">
        <v>714</v>
      </c>
      <c r="D63" s="136" t="s">
        <v>715</v>
      </c>
      <c r="E63" s="137" t="s">
        <v>710</v>
      </c>
      <c r="F63" s="137">
        <v>0.55000000000000004</v>
      </c>
      <c r="G63" s="137">
        <v>0</v>
      </c>
      <c r="H63" s="138">
        <v>3.1E-2</v>
      </c>
      <c r="I63" s="139">
        <v>17.77</v>
      </c>
      <c r="J63" s="139">
        <v>0</v>
      </c>
      <c r="K63" s="100">
        <v>21</v>
      </c>
      <c r="L63" s="100">
        <v>7219</v>
      </c>
    </row>
    <row r="64" spans="1:256">
      <c r="A64" s="101"/>
      <c r="B64" s="112"/>
      <c r="C64" s="128"/>
      <c r="D64" s="114"/>
      <c r="E64" s="112"/>
      <c r="F64" s="112"/>
      <c r="G64" s="112"/>
      <c r="H64" s="112"/>
      <c r="I64" s="110"/>
      <c r="J64" s="111"/>
      <c r="K64" s="99">
        <v>21</v>
      </c>
      <c r="IU64" s="99"/>
      <c r="IV64" s="99"/>
    </row>
    <row r="65" spans="1:256" ht="22.5">
      <c r="A65" s="129" t="s">
        <v>792</v>
      </c>
      <c r="B65" s="130" t="s">
        <v>688</v>
      </c>
      <c r="C65" s="130" t="s">
        <v>224</v>
      </c>
      <c r="D65" s="131" t="s">
        <v>225</v>
      </c>
      <c r="E65" s="130" t="s">
        <v>49</v>
      </c>
      <c r="F65" s="132">
        <v>141.16</v>
      </c>
      <c r="G65" s="132">
        <v>0</v>
      </c>
      <c r="H65" s="133"/>
      <c r="I65" s="134">
        <v>141.16</v>
      </c>
      <c r="J65" s="134">
        <v>0</v>
      </c>
      <c r="K65" s="100">
        <v>22</v>
      </c>
      <c r="L65" s="100">
        <v>5</v>
      </c>
    </row>
    <row r="66" spans="1:256">
      <c r="A66" s="121"/>
      <c r="B66" s="135" t="s">
        <v>703</v>
      </c>
      <c r="C66" s="135" t="s">
        <v>783</v>
      </c>
      <c r="D66" s="136" t="s">
        <v>784</v>
      </c>
      <c r="E66" s="137" t="s">
        <v>748</v>
      </c>
      <c r="F66" s="137">
        <v>91.79</v>
      </c>
      <c r="G66" s="137">
        <v>0</v>
      </c>
      <c r="H66" s="138">
        <v>1.0900000000000001</v>
      </c>
      <c r="I66" s="139">
        <v>84.22</v>
      </c>
      <c r="J66" s="139">
        <v>0</v>
      </c>
      <c r="K66" s="100">
        <v>22</v>
      </c>
      <c r="L66" s="100">
        <v>11001</v>
      </c>
    </row>
    <row r="67" spans="1:256">
      <c r="A67" s="121"/>
      <c r="B67" s="135" t="s">
        <v>703</v>
      </c>
      <c r="C67" s="135" t="s">
        <v>785</v>
      </c>
      <c r="D67" s="136" t="s">
        <v>786</v>
      </c>
      <c r="E67" s="137" t="s">
        <v>787</v>
      </c>
      <c r="F67" s="137">
        <v>13.2</v>
      </c>
      <c r="G67" s="137">
        <v>0</v>
      </c>
      <c r="H67" s="138">
        <v>6.14</v>
      </c>
      <c r="I67" s="139">
        <v>2.15</v>
      </c>
      <c r="J67" s="139">
        <v>0</v>
      </c>
      <c r="K67" s="100">
        <v>22</v>
      </c>
      <c r="L67" s="100">
        <v>7902</v>
      </c>
    </row>
    <row r="68" spans="1:256">
      <c r="A68" s="121"/>
      <c r="B68" s="135" t="s">
        <v>703</v>
      </c>
      <c r="C68" s="135" t="s">
        <v>788</v>
      </c>
      <c r="D68" s="136" t="s">
        <v>789</v>
      </c>
      <c r="E68" s="137" t="s">
        <v>787</v>
      </c>
      <c r="F68" s="137">
        <v>0.9</v>
      </c>
      <c r="G68" s="137">
        <v>0</v>
      </c>
      <c r="H68" s="138">
        <v>0.22</v>
      </c>
      <c r="I68" s="139">
        <v>4.1100000000000003</v>
      </c>
      <c r="J68" s="139">
        <v>0</v>
      </c>
      <c r="K68" s="100">
        <v>22</v>
      </c>
      <c r="L68" s="100">
        <v>11383</v>
      </c>
    </row>
    <row r="69" spans="1:256">
      <c r="A69" s="121"/>
      <c r="B69" s="135" t="s">
        <v>707</v>
      </c>
      <c r="C69" s="135" t="s">
        <v>790</v>
      </c>
      <c r="D69" s="136" t="s">
        <v>791</v>
      </c>
      <c r="E69" s="137" t="s">
        <v>710</v>
      </c>
      <c r="F69" s="137">
        <v>26.39</v>
      </c>
      <c r="G69" s="137">
        <v>0</v>
      </c>
      <c r="H69" s="138">
        <v>1.02</v>
      </c>
      <c r="I69" s="139">
        <v>25.88</v>
      </c>
      <c r="J69" s="139">
        <v>0</v>
      </c>
      <c r="K69" s="100">
        <v>22</v>
      </c>
      <c r="L69" s="100">
        <v>7168</v>
      </c>
    </row>
    <row r="70" spans="1:256">
      <c r="A70" s="121"/>
      <c r="B70" s="135" t="s">
        <v>707</v>
      </c>
      <c r="C70" s="135" t="s">
        <v>714</v>
      </c>
      <c r="D70" s="136" t="s">
        <v>715</v>
      </c>
      <c r="E70" s="137" t="s">
        <v>710</v>
      </c>
      <c r="F70" s="137">
        <v>8.8800000000000008</v>
      </c>
      <c r="G70" s="137">
        <v>0</v>
      </c>
      <c r="H70" s="138">
        <v>0.5</v>
      </c>
      <c r="I70" s="139">
        <v>17.77</v>
      </c>
      <c r="J70" s="139">
        <v>0</v>
      </c>
      <c r="K70" s="100">
        <v>22</v>
      </c>
      <c r="L70" s="100">
        <v>7219</v>
      </c>
    </row>
    <row r="71" spans="1:256">
      <c r="A71" s="101"/>
      <c r="B71" s="112"/>
      <c r="C71" s="128"/>
      <c r="D71" s="114"/>
      <c r="E71" s="112"/>
      <c r="F71" s="112"/>
      <c r="G71" s="112"/>
      <c r="H71" s="112"/>
      <c r="I71" s="110"/>
      <c r="J71" s="111"/>
      <c r="K71" s="99">
        <v>22</v>
      </c>
      <c r="IU71" s="99"/>
      <c r="IV71" s="99"/>
    </row>
    <row r="72" spans="1:256">
      <c r="A72" s="129" t="s">
        <v>793</v>
      </c>
      <c r="B72" s="130" t="s">
        <v>688</v>
      </c>
      <c r="C72" s="130" t="s">
        <v>277</v>
      </c>
      <c r="D72" s="131" t="s">
        <v>278</v>
      </c>
      <c r="E72" s="130" t="s">
        <v>20</v>
      </c>
      <c r="F72" s="132">
        <v>676.57</v>
      </c>
      <c r="G72" s="132">
        <v>0</v>
      </c>
      <c r="H72" s="133"/>
      <c r="I72" s="134">
        <v>676.57</v>
      </c>
      <c r="J72" s="134">
        <v>0</v>
      </c>
      <c r="K72" s="100">
        <v>23</v>
      </c>
      <c r="L72" s="100">
        <v>8</v>
      </c>
    </row>
    <row r="73" spans="1:256">
      <c r="A73" s="121"/>
      <c r="B73" s="135" t="s">
        <v>707</v>
      </c>
      <c r="C73" s="135" t="s">
        <v>794</v>
      </c>
      <c r="D73" s="136" t="s">
        <v>795</v>
      </c>
      <c r="E73" s="137" t="s">
        <v>710</v>
      </c>
      <c r="F73" s="137">
        <v>19.48</v>
      </c>
      <c r="G73" s="137">
        <v>0</v>
      </c>
      <c r="H73" s="138">
        <v>0.99160000000000004</v>
      </c>
      <c r="I73" s="139">
        <v>19.649999999999999</v>
      </c>
      <c r="J73" s="139">
        <v>0</v>
      </c>
      <c r="K73" s="100">
        <v>23</v>
      </c>
      <c r="L73" s="100">
        <v>7164</v>
      </c>
    </row>
    <row r="74" spans="1:256">
      <c r="A74" s="121"/>
      <c r="B74" s="135" t="s">
        <v>707</v>
      </c>
      <c r="C74" s="135" t="s">
        <v>796</v>
      </c>
      <c r="D74" s="136" t="s">
        <v>797</v>
      </c>
      <c r="E74" s="137" t="s">
        <v>710</v>
      </c>
      <c r="F74" s="137">
        <v>189.15</v>
      </c>
      <c r="G74" s="137">
        <v>0</v>
      </c>
      <c r="H74" s="138">
        <v>7.8</v>
      </c>
      <c r="I74" s="139">
        <v>24.25</v>
      </c>
      <c r="J74" s="139">
        <v>0</v>
      </c>
      <c r="K74" s="100">
        <v>23</v>
      </c>
      <c r="L74" s="100">
        <v>7218</v>
      </c>
    </row>
    <row r="75" spans="1:256">
      <c r="A75" s="121"/>
      <c r="B75" s="135" t="s">
        <v>798</v>
      </c>
      <c r="C75" s="135" t="s">
        <v>799</v>
      </c>
      <c r="D75" s="136" t="s">
        <v>800</v>
      </c>
      <c r="E75" s="137" t="s">
        <v>147</v>
      </c>
      <c r="F75" s="137">
        <v>5.54</v>
      </c>
      <c r="G75" s="137">
        <v>0</v>
      </c>
      <c r="H75" s="138">
        <v>0.69599999999999995</v>
      </c>
      <c r="I75" s="139">
        <v>7.96</v>
      </c>
      <c r="J75" s="139">
        <v>0</v>
      </c>
      <c r="K75" s="100">
        <v>23</v>
      </c>
      <c r="L75" s="100">
        <v>15405</v>
      </c>
    </row>
    <row r="76" spans="1:256">
      <c r="A76" s="121"/>
      <c r="B76" s="135" t="s">
        <v>798</v>
      </c>
      <c r="C76" s="135" t="s">
        <v>801</v>
      </c>
      <c r="D76" s="136" t="s">
        <v>802</v>
      </c>
      <c r="E76" s="137" t="s">
        <v>147</v>
      </c>
      <c r="F76" s="137">
        <v>48.81</v>
      </c>
      <c r="G76" s="137">
        <v>0</v>
      </c>
      <c r="H76" s="138">
        <v>5.7767999999999997</v>
      </c>
      <c r="I76" s="139">
        <v>8.4499999999999993</v>
      </c>
      <c r="J76" s="139">
        <v>0</v>
      </c>
      <c r="K76" s="100">
        <v>23</v>
      </c>
      <c r="L76" s="100">
        <v>15409</v>
      </c>
    </row>
    <row r="77" spans="1:256">
      <c r="A77" s="121"/>
      <c r="B77" s="135" t="s">
        <v>798</v>
      </c>
      <c r="C77" s="135" t="s">
        <v>803</v>
      </c>
      <c r="D77" s="136" t="s">
        <v>804</v>
      </c>
      <c r="E77" s="137" t="s">
        <v>147</v>
      </c>
      <c r="F77" s="137">
        <v>184.45</v>
      </c>
      <c r="G77" s="137">
        <v>0</v>
      </c>
      <c r="H77" s="138">
        <v>20.984400000000001</v>
      </c>
      <c r="I77" s="139">
        <v>8.7899999999999991</v>
      </c>
      <c r="J77" s="139">
        <v>0</v>
      </c>
      <c r="K77" s="100">
        <v>23</v>
      </c>
      <c r="L77" s="100">
        <v>15414</v>
      </c>
    </row>
    <row r="78" spans="1:256">
      <c r="A78" s="121"/>
      <c r="B78" s="135" t="s">
        <v>798</v>
      </c>
      <c r="C78" s="135" t="s">
        <v>805</v>
      </c>
      <c r="D78" s="136" t="s">
        <v>806</v>
      </c>
      <c r="E78" s="137" t="s">
        <v>147</v>
      </c>
      <c r="F78" s="137">
        <v>15.38</v>
      </c>
      <c r="G78" s="137">
        <v>0</v>
      </c>
      <c r="H78" s="138">
        <v>1.4964</v>
      </c>
      <c r="I78" s="139">
        <v>10.28</v>
      </c>
      <c r="J78" s="139">
        <v>0</v>
      </c>
      <c r="K78" s="100">
        <v>23</v>
      </c>
      <c r="L78" s="100">
        <v>15419</v>
      </c>
    </row>
    <row r="79" spans="1:256">
      <c r="A79" s="121"/>
      <c r="B79" s="135" t="s">
        <v>703</v>
      </c>
      <c r="C79" s="135" t="s">
        <v>807</v>
      </c>
      <c r="D79" s="136" t="s">
        <v>808</v>
      </c>
      <c r="E79" s="137" t="s">
        <v>748</v>
      </c>
      <c r="F79" s="137">
        <v>128.88999999999999</v>
      </c>
      <c r="G79" s="137">
        <v>0</v>
      </c>
      <c r="H79" s="138">
        <v>2.7839999999999998</v>
      </c>
      <c r="I79" s="139">
        <v>46.3</v>
      </c>
      <c r="J79" s="139">
        <v>0</v>
      </c>
      <c r="K79" s="100">
        <v>23</v>
      </c>
      <c r="L79" s="100">
        <v>11822</v>
      </c>
    </row>
    <row r="80" spans="1:256" ht="22.5">
      <c r="A80" s="121"/>
      <c r="B80" s="135" t="s">
        <v>798</v>
      </c>
      <c r="C80" s="135" t="s">
        <v>809</v>
      </c>
      <c r="D80" s="136" t="s">
        <v>810</v>
      </c>
      <c r="E80" s="137" t="s">
        <v>248</v>
      </c>
      <c r="F80" s="137">
        <v>84.87</v>
      </c>
      <c r="G80" s="137">
        <v>0</v>
      </c>
      <c r="H80" s="138">
        <v>10.44</v>
      </c>
      <c r="I80" s="139">
        <v>8.1300000000000008</v>
      </c>
      <c r="J80" s="139">
        <v>0</v>
      </c>
      <c r="K80" s="100">
        <v>23</v>
      </c>
      <c r="L80" s="100">
        <v>15547</v>
      </c>
    </row>
    <row r="81" spans="1:256">
      <c r="A81" s="101"/>
      <c r="B81" s="112"/>
      <c r="C81" s="128"/>
      <c r="D81" s="114"/>
      <c r="E81" s="112"/>
      <c r="F81" s="112"/>
      <c r="G81" s="112"/>
      <c r="H81" s="112"/>
      <c r="I81" s="110"/>
      <c r="J81" s="111"/>
      <c r="K81" s="99">
        <v>23</v>
      </c>
      <c r="IU81" s="99"/>
      <c r="IV81" s="99"/>
    </row>
    <row r="82" spans="1:256" ht="22.5">
      <c r="A82" s="129" t="s">
        <v>811</v>
      </c>
      <c r="B82" s="130" t="s">
        <v>688</v>
      </c>
      <c r="C82" s="130" t="s">
        <v>634</v>
      </c>
      <c r="D82" s="131" t="s">
        <v>635</v>
      </c>
      <c r="E82" s="130" t="s">
        <v>20</v>
      </c>
      <c r="F82" s="132">
        <v>1091.6600000000001</v>
      </c>
      <c r="G82" s="132">
        <v>0</v>
      </c>
      <c r="H82" s="133"/>
      <c r="I82" s="134">
        <v>1091.6600000000001</v>
      </c>
      <c r="J82" s="134">
        <v>0</v>
      </c>
      <c r="K82" s="100">
        <v>24</v>
      </c>
      <c r="L82" s="100">
        <v>4</v>
      </c>
    </row>
    <row r="83" spans="1:256">
      <c r="A83" s="121"/>
      <c r="B83" s="135" t="s">
        <v>798</v>
      </c>
      <c r="C83" s="135" t="s">
        <v>812</v>
      </c>
      <c r="D83" s="136" t="s">
        <v>813</v>
      </c>
      <c r="E83" s="137" t="s">
        <v>248</v>
      </c>
      <c r="F83" s="137">
        <v>1050</v>
      </c>
      <c r="G83" s="137">
        <v>0</v>
      </c>
      <c r="H83" s="138">
        <v>2</v>
      </c>
      <c r="I83" s="139">
        <v>525</v>
      </c>
      <c r="J83" s="139">
        <v>0</v>
      </c>
      <c r="K83" s="100">
        <v>24</v>
      </c>
      <c r="L83" s="100">
        <v>16642</v>
      </c>
    </row>
    <row r="84" spans="1:256" ht="22.5">
      <c r="A84" s="121"/>
      <c r="B84" s="135" t="s">
        <v>703</v>
      </c>
      <c r="C84" s="135" t="s">
        <v>814</v>
      </c>
      <c r="D84" s="136" t="s">
        <v>815</v>
      </c>
      <c r="E84" s="137" t="s">
        <v>433</v>
      </c>
      <c r="F84" s="137">
        <v>4.84</v>
      </c>
      <c r="G84" s="137">
        <v>0</v>
      </c>
      <c r="H84" s="138">
        <v>4</v>
      </c>
      <c r="I84" s="139">
        <v>1.21</v>
      </c>
      <c r="J84" s="139">
        <v>0</v>
      </c>
      <c r="K84" s="100">
        <v>24</v>
      </c>
      <c r="L84" s="100">
        <v>8164</v>
      </c>
    </row>
    <row r="85" spans="1:256">
      <c r="A85" s="121"/>
      <c r="B85" s="135" t="s">
        <v>703</v>
      </c>
      <c r="C85" s="135" t="s">
        <v>816</v>
      </c>
      <c r="D85" s="136" t="s">
        <v>817</v>
      </c>
      <c r="E85" s="137" t="s">
        <v>818</v>
      </c>
      <c r="F85" s="137">
        <v>12.39</v>
      </c>
      <c r="G85" s="137">
        <v>0</v>
      </c>
      <c r="H85" s="138">
        <v>1</v>
      </c>
      <c r="I85" s="139">
        <v>12.39</v>
      </c>
      <c r="J85" s="139">
        <v>0</v>
      </c>
      <c r="K85" s="100">
        <v>24</v>
      </c>
      <c r="L85" s="100">
        <v>7968</v>
      </c>
    </row>
    <row r="86" spans="1:256">
      <c r="A86" s="121"/>
      <c r="B86" s="135" t="s">
        <v>707</v>
      </c>
      <c r="C86" s="135" t="s">
        <v>733</v>
      </c>
      <c r="D86" s="136" t="s">
        <v>734</v>
      </c>
      <c r="E86" s="137" t="s">
        <v>710</v>
      </c>
      <c r="F86" s="137">
        <v>24.43</v>
      </c>
      <c r="G86" s="137">
        <v>0</v>
      </c>
      <c r="H86" s="138">
        <v>1</v>
      </c>
      <c r="I86" s="139">
        <v>24.43</v>
      </c>
      <c r="J86" s="139">
        <v>0</v>
      </c>
      <c r="K86" s="100">
        <v>24</v>
      </c>
      <c r="L86" s="100">
        <v>7212</v>
      </c>
    </row>
    <row r="87" spans="1:256">
      <c r="A87" s="101"/>
      <c r="B87" s="112"/>
      <c r="C87" s="128"/>
      <c r="D87" s="114"/>
      <c r="E87" s="112"/>
      <c r="F87" s="112"/>
      <c r="G87" s="112"/>
      <c r="H87" s="112"/>
      <c r="I87" s="110"/>
      <c r="J87" s="111"/>
      <c r="K87" s="99">
        <v>24</v>
      </c>
      <c r="IU87" s="99"/>
      <c r="IV87" s="99"/>
    </row>
    <row r="88" spans="1:256" ht="33.75">
      <c r="A88" s="129" t="s">
        <v>819</v>
      </c>
      <c r="B88" s="130" t="s">
        <v>688</v>
      </c>
      <c r="C88" s="130" t="s">
        <v>398</v>
      </c>
      <c r="D88" s="131" t="s">
        <v>399</v>
      </c>
      <c r="E88" s="130" t="s">
        <v>185</v>
      </c>
      <c r="F88" s="132">
        <v>94.76</v>
      </c>
      <c r="G88" s="132">
        <v>0</v>
      </c>
      <c r="H88" s="133"/>
      <c r="I88" s="134">
        <v>94.76</v>
      </c>
      <c r="J88" s="134">
        <v>0</v>
      </c>
      <c r="K88" s="100">
        <v>25</v>
      </c>
      <c r="L88" s="100">
        <v>9</v>
      </c>
    </row>
    <row r="89" spans="1:256" ht="22.5">
      <c r="A89" s="121"/>
      <c r="B89" s="135" t="s">
        <v>703</v>
      </c>
      <c r="C89" s="135" t="s">
        <v>820</v>
      </c>
      <c r="D89" s="136" t="s">
        <v>821</v>
      </c>
      <c r="E89" s="137" t="s">
        <v>713</v>
      </c>
      <c r="F89" s="137">
        <v>19.97</v>
      </c>
      <c r="G89" s="137">
        <v>0</v>
      </c>
      <c r="H89" s="138">
        <v>1.05</v>
      </c>
      <c r="I89" s="139">
        <v>19.02</v>
      </c>
      <c r="J89" s="139">
        <v>0</v>
      </c>
      <c r="K89" s="100">
        <v>25</v>
      </c>
      <c r="L89" s="100">
        <v>12151</v>
      </c>
    </row>
    <row r="90" spans="1:256" ht="22.5">
      <c r="A90" s="121"/>
      <c r="B90" s="135" t="s">
        <v>698</v>
      </c>
      <c r="C90" s="135" t="s">
        <v>822</v>
      </c>
      <c r="D90" s="136" t="s">
        <v>823</v>
      </c>
      <c r="E90" s="137" t="s">
        <v>38</v>
      </c>
      <c r="F90" s="137">
        <v>21.22</v>
      </c>
      <c r="G90" s="137">
        <v>0</v>
      </c>
      <c r="H90" s="138">
        <v>1.05</v>
      </c>
      <c r="I90" s="139">
        <v>20.21</v>
      </c>
      <c r="J90" s="139">
        <v>0</v>
      </c>
      <c r="K90" s="100">
        <v>25</v>
      </c>
      <c r="L90" s="100">
        <v>19013</v>
      </c>
    </row>
    <row r="91" spans="1:256">
      <c r="A91" s="121"/>
      <c r="B91" s="135" t="s">
        <v>754</v>
      </c>
      <c r="C91" s="135" t="s">
        <v>824</v>
      </c>
      <c r="D91" s="136" t="s">
        <v>825</v>
      </c>
      <c r="E91" s="137" t="s">
        <v>185</v>
      </c>
      <c r="F91" s="137">
        <v>7.17</v>
      </c>
      <c r="G91" s="137">
        <v>0</v>
      </c>
      <c r="H91" s="138">
        <v>1.05</v>
      </c>
      <c r="I91" s="139">
        <v>6.83</v>
      </c>
      <c r="J91" s="139">
        <v>0</v>
      </c>
      <c r="K91" s="100">
        <v>25</v>
      </c>
      <c r="L91" s="100">
        <v>12582</v>
      </c>
    </row>
    <row r="92" spans="1:256">
      <c r="A92" s="121"/>
      <c r="B92" s="135" t="s">
        <v>754</v>
      </c>
      <c r="C92" s="135" t="s">
        <v>393</v>
      </c>
      <c r="D92" s="136" t="s">
        <v>394</v>
      </c>
      <c r="E92" s="137" t="s">
        <v>185</v>
      </c>
      <c r="F92" s="137">
        <v>7.94</v>
      </c>
      <c r="G92" s="137">
        <v>0</v>
      </c>
      <c r="H92" s="138">
        <v>1.05</v>
      </c>
      <c r="I92" s="139">
        <v>7.57</v>
      </c>
      <c r="J92" s="139">
        <v>0</v>
      </c>
      <c r="K92" s="100">
        <v>25</v>
      </c>
      <c r="L92" s="100">
        <v>12583</v>
      </c>
    </row>
    <row r="93" spans="1:256" ht="22.5">
      <c r="A93" s="121"/>
      <c r="B93" s="135" t="s">
        <v>707</v>
      </c>
      <c r="C93" s="135" t="s">
        <v>826</v>
      </c>
      <c r="D93" s="136" t="s">
        <v>827</v>
      </c>
      <c r="E93" s="137" t="s">
        <v>185</v>
      </c>
      <c r="F93" s="137">
        <v>6.74</v>
      </c>
      <c r="G93" s="137">
        <v>0</v>
      </c>
      <c r="H93" s="138">
        <v>2.1</v>
      </c>
      <c r="I93" s="139">
        <v>3.21</v>
      </c>
      <c r="J93" s="139">
        <v>0</v>
      </c>
      <c r="K93" s="100">
        <v>25</v>
      </c>
      <c r="L93" s="100">
        <v>2891</v>
      </c>
    </row>
    <row r="94" spans="1:256" ht="22.5">
      <c r="A94" s="121"/>
      <c r="B94" s="135" t="s">
        <v>707</v>
      </c>
      <c r="C94" s="135" t="s">
        <v>828</v>
      </c>
      <c r="D94" s="136" t="s">
        <v>829</v>
      </c>
      <c r="E94" s="137" t="s">
        <v>185</v>
      </c>
      <c r="F94" s="137">
        <v>9.11</v>
      </c>
      <c r="G94" s="137">
        <v>0</v>
      </c>
      <c r="H94" s="138">
        <v>2.1</v>
      </c>
      <c r="I94" s="139">
        <v>4.34</v>
      </c>
      <c r="J94" s="139">
        <v>0</v>
      </c>
      <c r="K94" s="100">
        <v>25</v>
      </c>
      <c r="L94" s="100">
        <v>2893</v>
      </c>
    </row>
    <row r="95" spans="1:256" ht="22.5">
      <c r="A95" s="121"/>
      <c r="B95" s="135" t="s">
        <v>703</v>
      </c>
      <c r="C95" s="135" t="s">
        <v>830</v>
      </c>
      <c r="D95" s="136" t="s">
        <v>831</v>
      </c>
      <c r="E95" s="137" t="s">
        <v>713</v>
      </c>
      <c r="F95" s="137">
        <v>3.37</v>
      </c>
      <c r="G95" s="137">
        <v>0</v>
      </c>
      <c r="H95" s="138">
        <v>1.05</v>
      </c>
      <c r="I95" s="139">
        <v>3.21</v>
      </c>
      <c r="J95" s="139">
        <v>0</v>
      </c>
      <c r="K95" s="100">
        <v>25</v>
      </c>
      <c r="L95" s="100">
        <v>9436</v>
      </c>
    </row>
    <row r="96" spans="1:256" ht="22.5">
      <c r="A96" s="121"/>
      <c r="B96" s="135" t="s">
        <v>698</v>
      </c>
      <c r="C96" s="135" t="s">
        <v>832</v>
      </c>
      <c r="D96" s="136" t="s">
        <v>833</v>
      </c>
      <c r="E96" s="137" t="s">
        <v>38</v>
      </c>
      <c r="F96" s="137">
        <v>9.2200000000000006</v>
      </c>
      <c r="G96" s="137">
        <v>0</v>
      </c>
      <c r="H96" s="138">
        <v>1.05</v>
      </c>
      <c r="I96" s="139">
        <v>8.7899999999999991</v>
      </c>
      <c r="J96" s="139">
        <v>0</v>
      </c>
      <c r="K96" s="100">
        <v>25</v>
      </c>
      <c r="L96" s="100">
        <v>19720</v>
      </c>
    </row>
    <row r="97" spans="1:256" ht="22.5">
      <c r="A97" s="121"/>
      <c r="B97" s="135" t="s">
        <v>698</v>
      </c>
      <c r="C97" s="135" t="s">
        <v>834</v>
      </c>
      <c r="D97" s="136" t="s">
        <v>835</v>
      </c>
      <c r="E97" s="137" t="s">
        <v>38</v>
      </c>
      <c r="F97" s="137">
        <v>10.02</v>
      </c>
      <c r="G97" s="137">
        <v>0</v>
      </c>
      <c r="H97" s="138">
        <v>1.05</v>
      </c>
      <c r="I97" s="139">
        <v>9.5500000000000007</v>
      </c>
      <c r="J97" s="139">
        <v>0</v>
      </c>
      <c r="K97" s="100">
        <v>25</v>
      </c>
      <c r="L97" s="100">
        <v>19721</v>
      </c>
    </row>
    <row r="98" spans="1:256">
      <c r="A98" s="101"/>
      <c r="B98" s="112"/>
      <c r="C98" s="128"/>
      <c r="D98" s="114"/>
      <c r="E98" s="112"/>
      <c r="F98" s="112"/>
      <c r="G98" s="112"/>
      <c r="H98" s="112"/>
      <c r="I98" s="110"/>
      <c r="J98" s="111"/>
      <c r="K98" s="99">
        <v>25</v>
      </c>
      <c r="IU98" s="99"/>
      <c r="IV98" s="99"/>
    </row>
    <row r="99" spans="1:256" ht="22.5">
      <c r="A99" s="129" t="s">
        <v>836</v>
      </c>
      <c r="B99" s="130" t="s">
        <v>688</v>
      </c>
      <c r="C99" s="130" t="s">
        <v>455</v>
      </c>
      <c r="D99" s="131" t="s">
        <v>456</v>
      </c>
      <c r="E99" s="130" t="s">
        <v>49</v>
      </c>
      <c r="F99" s="132">
        <v>89.77</v>
      </c>
      <c r="G99" s="132">
        <v>76.73</v>
      </c>
      <c r="H99" s="133"/>
      <c r="I99" s="134">
        <v>89.77</v>
      </c>
      <c r="J99" s="134">
        <v>76.73</v>
      </c>
      <c r="K99" s="100">
        <v>26</v>
      </c>
      <c r="L99" s="100">
        <v>8</v>
      </c>
    </row>
    <row r="100" spans="1:256" ht="22.5">
      <c r="A100" s="121"/>
      <c r="B100" s="135" t="s">
        <v>703</v>
      </c>
      <c r="C100" s="135" t="s">
        <v>837</v>
      </c>
      <c r="D100" s="136" t="s">
        <v>838</v>
      </c>
      <c r="E100" s="137" t="s">
        <v>741</v>
      </c>
      <c r="F100" s="137">
        <v>10.83</v>
      </c>
      <c r="G100" s="137">
        <v>0</v>
      </c>
      <c r="H100" s="138">
        <v>4.1500000000000004</v>
      </c>
      <c r="I100" s="139">
        <v>2.61</v>
      </c>
      <c r="J100" s="139">
        <v>0</v>
      </c>
      <c r="K100" s="100">
        <v>26</v>
      </c>
      <c r="L100" s="100">
        <v>9850</v>
      </c>
    </row>
    <row r="101" spans="1:256">
      <c r="A101" s="121"/>
      <c r="B101" s="135" t="s">
        <v>720</v>
      </c>
      <c r="C101" s="135" t="s">
        <v>839</v>
      </c>
      <c r="D101" s="136" t="s">
        <v>840</v>
      </c>
      <c r="E101" s="137" t="s">
        <v>20</v>
      </c>
      <c r="F101" s="137">
        <v>76.73</v>
      </c>
      <c r="G101" s="137">
        <v>76.73</v>
      </c>
      <c r="H101" s="138">
        <v>0.41499999999999998</v>
      </c>
      <c r="I101" s="139">
        <v>184.9</v>
      </c>
      <c r="J101" s="139">
        <v>184.9</v>
      </c>
      <c r="K101" s="100">
        <v>26</v>
      </c>
      <c r="L101" s="100">
        <v>62</v>
      </c>
    </row>
    <row r="102" spans="1:256">
      <c r="A102" s="121"/>
      <c r="B102" s="135" t="s">
        <v>707</v>
      </c>
      <c r="C102" s="135" t="s">
        <v>714</v>
      </c>
      <c r="D102" s="136" t="s">
        <v>715</v>
      </c>
      <c r="E102" s="137" t="s">
        <v>710</v>
      </c>
      <c r="F102" s="137">
        <v>0.84</v>
      </c>
      <c r="G102" s="137">
        <v>0</v>
      </c>
      <c r="H102" s="138">
        <v>4.7699999999999999E-2</v>
      </c>
      <c r="I102" s="139">
        <v>17.77</v>
      </c>
      <c r="J102" s="139">
        <v>0</v>
      </c>
      <c r="K102" s="100">
        <v>26</v>
      </c>
      <c r="L102" s="100">
        <v>7219</v>
      </c>
    </row>
    <row r="103" spans="1:256">
      <c r="A103" s="121"/>
      <c r="B103" s="135" t="s">
        <v>707</v>
      </c>
      <c r="C103" s="135" t="s">
        <v>708</v>
      </c>
      <c r="D103" s="136" t="s">
        <v>709</v>
      </c>
      <c r="E103" s="137" t="s">
        <v>710</v>
      </c>
      <c r="F103" s="137">
        <v>1.33</v>
      </c>
      <c r="G103" s="137">
        <v>0</v>
      </c>
      <c r="H103" s="138">
        <v>5.6000000000000001E-2</v>
      </c>
      <c r="I103" s="139">
        <v>23.84</v>
      </c>
      <c r="J103" s="139">
        <v>0</v>
      </c>
      <c r="K103" s="100">
        <v>26</v>
      </c>
      <c r="L103" s="100">
        <v>7225</v>
      </c>
    </row>
    <row r="104" spans="1:256" ht="22.5">
      <c r="A104" s="121"/>
      <c r="B104" s="135" t="s">
        <v>707</v>
      </c>
      <c r="C104" s="135" t="s">
        <v>841</v>
      </c>
      <c r="D104" s="136" t="s">
        <v>842</v>
      </c>
      <c r="E104" s="137" t="s">
        <v>843</v>
      </c>
      <c r="F104" s="137">
        <v>0.02</v>
      </c>
      <c r="G104" s="137">
        <v>0</v>
      </c>
      <c r="H104" s="138">
        <v>8.9999999999999998E-4</v>
      </c>
      <c r="I104" s="139">
        <v>22.83</v>
      </c>
      <c r="J104" s="139">
        <v>0</v>
      </c>
      <c r="K104" s="100">
        <v>26</v>
      </c>
      <c r="L104" s="100">
        <v>542</v>
      </c>
    </row>
    <row r="105" spans="1:256" ht="22.5">
      <c r="A105" s="121"/>
      <c r="B105" s="135" t="s">
        <v>707</v>
      </c>
      <c r="C105" s="135" t="s">
        <v>844</v>
      </c>
      <c r="D105" s="136" t="s">
        <v>845</v>
      </c>
      <c r="E105" s="137" t="s">
        <v>846</v>
      </c>
      <c r="F105" s="137">
        <v>0.02</v>
      </c>
      <c r="G105" s="137">
        <v>0</v>
      </c>
      <c r="H105" s="138">
        <v>1.1999999999999999E-3</v>
      </c>
      <c r="I105" s="139">
        <v>21.96</v>
      </c>
      <c r="J105" s="139">
        <v>0</v>
      </c>
      <c r="K105" s="100">
        <v>26</v>
      </c>
      <c r="L105" s="100">
        <v>687</v>
      </c>
    </row>
    <row r="106" spans="1:256">
      <c r="A106" s="121"/>
      <c r="B106" s="135"/>
      <c r="C106" s="135"/>
      <c r="D106" s="136"/>
      <c r="E106" s="137"/>
      <c r="F106" s="137">
        <v>0</v>
      </c>
      <c r="G106" s="137">
        <v>0</v>
      </c>
      <c r="H106" s="138"/>
      <c r="I106" s="139">
        <v>0</v>
      </c>
      <c r="J106" s="139">
        <v>0</v>
      </c>
      <c r="K106" s="100">
        <v>26</v>
      </c>
      <c r="L106" s="100" t="e">
        <f>NA()</f>
        <v>#N/A</v>
      </c>
    </row>
    <row r="107" spans="1:256">
      <c r="A107" s="121"/>
      <c r="B107" s="135"/>
      <c r="C107" s="135"/>
      <c r="D107" s="136"/>
      <c r="E107" s="137"/>
      <c r="F107" s="137">
        <v>0</v>
      </c>
      <c r="G107" s="137">
        <v>0</v>
      </c>
      <c r="H107" s="138"/>
      <c r="I107" s="139">
        <v>0</v>
      </c>
      <c r="J107" s="139">
        <v>0</v>
      </c>
      <c r="K107" s="100">
        <v>26</v>
      </c>
      <c r="L107" s="100" t="e">
        <f>NA()</f>
        <v>#N/A</v>
      </c>
    </row>
    <row r="108" spans="1:256">
      <c r="A108" s="101"/>
      <c r="B108" s="112"/>
      <c r="C108" s="128"/>
      <c r="D108" s="114"/>
      <c r="E108" s="112"/>
      <c r="F108" s="112"/>
      <c r="G108" s="112"/>
      <c r="H108" s="112"/>
      <c r="I108" s="110"/>
      <c r="J108" s="111"/>
      <c r="K108" s="99">
        <v>26</v>
      </c>
      <c r="IU108" s="99"/>
      <c r="IV108" s="99"/>
    </row>
    <row r="109" spans="1:256" ht="22.5">
      <c r="A109" s="129" t="s">
        <v>847</v>
      </c>
      <c r="B109" s="130" t="s">
        <v>688</v>
      </c>
      <c r="C109" s="130" t="s">
        <v>263</v>
      </c>
      <c r="D109" s="131" t="s">
        <v>264</v>
      </c>
      <c r="E109" s="130" t="s">
        <v>20</v>
      </c>
      <c r="F109" s="132">
        <v>201.43</v>
      </c>
      <c r="G109" s="132">
        <v>0</v>
      </c>
      <c r="H109" s="133"/>
      <c r="I109" s="134">
        <v>201.43</v>
      </c>
      <c r="J109" s="134">
        <v>0</v>
      </c>
      <c r="K109" s="100">
        <v>27</v>
      </c>
      <c r="L109" s="100">
        <v>4</v>
      </c>
    </row>
    <row r="110" spans="1:256">
      <c r="A110" s="121"/>
      <c r="B110" s="135" t="s">
        <v>754</v>
      </c>
      <c r="C110" s="135" t="s">
        <v>848</v>
      </c>
      <c r="D110" s="136" t="s">
        <v>849</v>
      </c>
      <c r="E110" s="137" t="s">
        <v>59</v>
      </c>
      <c r="F110" s="137">
        <v>8.5</v>
      </c>
      <c r="G110" s="137">
        <v>0</v>
      </c>
      <c r="H110" s="138">
        <v>1.3650000000000001E-2</v>
      </c>
      <c r="I110" s="139">
        <v>623.37</v>
      </c>
      <c r="J110" s="139">
        <v>0</v>
      </c>
      <c r="K110" s="100">
        <v>27</v>
      </c>
      <c r="L110" s="100">
        <v>14626</v>
      </c>
    </row>
    <row r="111" spans="1:256">
      <c r="A111" s="121"/>
      <c r="B111" s="135" t="s">
        <v>707</v>
      </c>
      <c r="C111" s="135" t="s">
        <v>778</v>
      </c>
      <c r="D111" s="136" t="s">
        <v>779</v>
      </c>
      <c r="E111" s="137" t="s">
        <v>710</v>
      </c>
      <c r="F111" s="137">
        <v>120.75</v>
      </c>
      <c r="G111" s="137">
        <v>0</v>
      </c>
      <c r="H111" s="138">
        <v>5</v>
      </c>
      <c r="I111" s="139">
        <v>24.15</v>
      </c>
      <c r="J111" s="139">
        <v>0</v>
      </c>
      <c r="K111" s="100">
        <v>27</v>
      </c>
      <c r="L111" s="100">
        <v>7182</v>
      </c>
    </row>
    <row r="112" spans="1:256">
      <c r="A112" s="121"/>
      <c r="B112" s="135" t="s">
        <v>707</v>
      </c>
      <c r="C112" s="135" t="s">
        <v>733</v>
      </c>
      <c r="D112" s="136" t="s">
        <v>734</v>
      </c>
      <c r="E112" s="137" t="s">
        <v>710</v>
      </c>
      <c r="F112" s="137">
        <v>36.64</v>
      </c>
      <c r="G112" s="137">
        <v>0</v>
      </c>
      <c r="H112" s="138">
        <v>1.5</v>
      </c>
      <c r="I112" s="139">
        <v>24.43</v>
      </c>
      <c r="J112" s="139">
        <v>0</v>
      </c>
      <c r="K112" s="100">
        <v>27</v>
      </c>
      <c r="L112" s="100">
        <v>7212</v>
      </c>
    </row>
    <row r="113" spans="1:256">
      <c r="A113" s="121"/>
      <c r="B113" s="135" t="s">
        <v>707</v>
      </c>
      <c r="C113" s="135" t="s">
        <v>714</v>
      </c>
      <c r="D113" s="136" t="s">
        <v>715</v>
      </c>
      <c r="E113" s="137" t="s">
        <v>710</v>
      </c>
      <c r="F113" s="137">
        <v>35.54</v>
      </c>
      <c r="G113" s="137">
        <v>0</v>
      </c>
      <c r="H113" s="138">
        <v>2</v>
      </c>
      <c r="I113" s="139">
        <v>17.77</v>
      </c>
      <c r="J113" s="139">
        <v>0</v>
      </c>
      <c r="K113" s="100">
        <v>27</v>
      </c>
      <c r="L113" s="100">
        <v>7219</v>
      </c>
    </row>
    <row r="114" spans="1:256">
      <c r="A114" s="101"/>
      <c r="B114" s="112"/>
      <c r="C114" s="128"/>
      <c r="D114" s="114"/>
      <c r="E114" s="112"/>
      <c r="F114" s="112"/>
      <c r="G114" s="112"/>
      <c r="H114" s="112"/>
      <c r="I114" s="110"/>
      <c r="J114" s="111"/>
      <c r="K114" s="99">
        <v>27</v>
      </c>
      <c r="IU114" s="99"/>
      <c r="IV114" s="99"/>
    </row>
    <row r="115" spans="1:256" ht="33.75">
      <c r="A115" s="129" t="s">
        <v>850</v>
      </c>
      <c r="B115" s="130" t="s">
        <v>688</v>
      </c>
      <c r="C115" s="130" t="s">
        <v>486</v>
      </c>
      <c r="D115" s="131" t="s">
        <v>487</v>
      </c>
      <c r="E115" s="130" t="s">
        <v>20</v>
      </c>
      <c r="F115" s="132">
        <v>4527.42</v>
      </c>
      <c r="G115" s="132">
        <v>3663.99</v>
      </c>
      <c r="H115" s="133"/>
      <c r="I115" s="134">
        <v>4527.42</v>
      </c>
      <c r="J115" s="134">
        <v>3663.99</v>
      </c>
      <c r="K115" s="100">
        <v>28</v>
      </c>
      <c r="L115" s="100">
        <v>7</v>
      </c>
    </row>
    <row r="116" spans="1:256">
      <c r="A116" s="121"/>
      <c r="B116" s="135" t="s">
        <v>720</v>
      </c>
      <c r="C116" s="135" t="s">
        <v>851</v>
      </c>
      <c r="D116" s="136" t="s">
        <v>852</v>
      </c>
      <c r="E116" s="137" t="s">
        <v>20</v>
      </c>
      <c r="F116" s="137">
        <v>1900</v>
      </c>
      <c r="G116" s="137">
        <v>1900</v>
      </c>
      <c r="H116" s="138">
        <v>1</v>
      </c>
      <c r="I116" s="139">
        <v>1900</v>
      </c>
      <c r="J116" s="139">
        <v>1900</v>
      </c>
      <c r="K116" s="100">
        <v>28</v>
      </c>
      <c r="L116" s="100">
        <v>63</v>
      </c>
    </row>
    <row r="117" spans="1:256">
      <c r="A117" s="121"/>
      <c r="B117" s="135" t="s">
        <v>798</v>
      </c>
      <c r="C117" s="135" t="s">
        <v>853</v>
      </c>
      <c r="D117" s="136" t="s">
        <v>854</v>
      </c>
      <c r="E117" s="137" t="s">
        <v>248</v>
      </c>
      <c r="F117" s="137">
        <v>354.86</v>
      </c>
      <c r="G117" s="137">
        <v>0</v>
      </c>
      <c r="H117" s="138">
        <v>2</v>
      </c>
      <c r="I117" s="139">
        <v>177.43</v>
      </c>
      <c r="J117" s="139">
        <v>0</v>
      </c>
      <c r="K117" s="100">
        <v>28</v>
      </c>
      <c r="L117" s="100">
        <v>15885</v>
      </c>
    </row>
    <row r="118" spans="1:256" ht="22.5">
      <c r="A118" s="121"/>
      <c r="B118" s="135" t="s">
        <v>698</v>
      </c>
      <c r="C118" s="135" t="s">
        <v>855</v>
      </c>
      <c r="D118" s="136" t="s">
        <v>856</v>
      </c>
      <c r="E118" s="137" t="s">
        <v>24</v>
      </c>
      <c r="F118" s="137">
        <v>307.77</v>
      </c>
      <c r="G118" s="137">
        <v>0</v>
      </c>
      <c r="H118" s="138">
        <v>3</v>
      </c>
      <c r="I118" s="139">
        <v>102.59</v>
      </c>
      <c r="J118" s="139">
        <v>0</v>
      </c>
      <c r="K118" s="100">
        <v>28</v>
      </c>
      <c r="L118" s="100">
        <v>18265</v>
      </c>
    </row>
    <row r="119" spans="1:256">
      <c r="A119" s="121"/>
      <c r="B119" s="135" t="s">
        <v>798</v>
      </c>
      <c r="C119" s="135" t="s">
        <v>857</v>
      </c>
      <c r="D119" s="136" t="s">
        <v>858</v>
      </c>
      <c r="E119" s="137" t="s">
        <v>147</v>
      </c>
      <c r="F119" s="137">
        <v>32</v>
      </c>
      <c r="G119" s="137">
        <v>0</v>
      </c>
      <c r="H119" s="138">
        <v>5</v>
      </c>
      <c r="I119" s="139">
        <v>6.4</v>
      </c>
      <c r="J119" s="139">
        <v>0</v>
      </c>
      <c r="K119" s="100">
        <v>28</v>
      </c>
      <c r="L119" s="100">
        <v>15420</v>
      </c>
    </row>
    <row r="120" spans="1:256">
      <c r="A120" s="121"/>
      <c r="B120" s="135" t="s">
        <v>720</v>
      </c>
      <c r="C120" s="135" t="s">
        <v>859</v>
      </c>
      <c r="D120" s="136" t="s">
        <v>860</v>
      </c>
      <c r="E120" s="137" t="s">
        <v>49</v>
      </c>
      <c r="F120" s="137">
        <v>1763.99</v>
      </c>
      <c r="G120" s="137">
        <v>1763.99</v>
      </c>
      <c r="H120" s="138">
        <v>2.82</v>
      </c>
      <c r="I120" s="139">
        <v>625.53</v>
      </c>
      <c r="J120" s="139">
        <v>625.53</v>
      </c>
      <c r="K120" s="100">
        <v>28</v>
      </c>
      <c r="L120" s="100">
        <v>64</v>
      </c>
    </row>
    <row r="121" spans="1:256">
      <c r="A121" s="121"/>
      <c r="B121" s="135" t="s">
        <v>707</v>
      </c>
      <c r="C121" s="135" t="s">
        <v>733</v>
      </c>
      <c r="D121" s="136" t="s">
        <v>734</v>
      </c>
      <c r="E121" s="137" t="s">
        <v>710</v>
      </c>
      <c r="F121" s="137">
        <v>97.72</v>
      </c>
      <c r="G121" s="137">
        <v>0</v>
      </c>
      <c r="H121" s="138">
        <v>4</v>
      </c>
      <c r="I121" s="139">
        <v>24.43</v>
      </c>
      <c r="J121" s="139">
        <v>0</v>
      </c>
      <c r="K121" s="100">
        <v>28</v>
      </c>
      <c r="L121" s="100">
        <v>7212</v>
      </c>
    </row>
    <row r="122" spans="1:256">
      <c r="A122" s="121"/>
      <c r="B122" s="135" t="s">
        <v>707</v>
      </c>
      <c r="C122" s="135" t="s">
        <v>714</v>
      </c>
      <c r="D122" s="136" t="s">
        <v>715</v>
      </c>
      <c r="E122" s="137" t="s">
        <v>710</v>
      </c>
      <c r="F122" s="137">
        <v>71.08</v>
      </c>
      <c r="G122" s="137">
        <v>0</v>
      </c>
      <c r="H122" s="138">
        <v>4</v>
      </c>
      <c r="I122" s="139">
        <v>17.77</v>
      </c>
      <c r="J122" s="139">
        <v>0</v>
      </c>
      <c r="K122" s="100">
        <v>28</v>
      </c>
      <c r="L122" s="100">
        <v>7219</v>
      </c>
    </row>
    <row r="123" spans="1:256">
      <c r="A123" s="101"/>
      <c r="B123" s="112"/>
      <c r="C123" s="128"/>
      <c r="D123" s="114"/>
      <c r="E123" s="112"/>
      <c r="F123" s="112"/>
      <c r="G123" s="112"/>
      <c r="H123" s="112"/>
      <c r="I123" s="110"/>
      <c r="J123" s="111"/>
      <c r="K123" s="99">
        <v>28</v>
      </c>
      <c r="IU123" s="99"/>
      <c r="IV123" s="99"/>
    </row>
    <row r="124" spans="1:256" ht="33.75">
      <c r="A124" s="129" t="s">
        <v>861</v>
      </c>
      <c r="B124" s="130" t="s">
        <v>688</v>
      </c>
      <c r="C124" s="130" t="s">
        <v>555</v>
      </c>
      <c r="D124" s="131" t="s">
        <v>556</v>
      </c>
      <c r="E124" s="130" t="s">
        <v>553</v>
      </c>
      <c r="F124" s="132">
        <v>1369.44</v>
      </c>
      <c r="G124" s="132">
        <v>375.48</v>
      </c>
      <c r="H124" s="133"/>
      <c r="I124" s="134">
        <v>1369.44</v>
      </c>
      <c r="J124" s="134">
        <v>375.48</v>
      </c>
      <c r="K124" s="100">
        <v>29</v>
      </c>
      <c r="L124" s="100">
        <v>8</v>
      </c>
    </row>
    <row r="125" spans="1:256">
      <c r="A125" s="121"/>
      <c r="B125" s="135" t="s">
        <v>703</v>
      </c>
      <c r="C125" s="135" t="s">
        <v>862</v>
      </c>
      <c r="D125" s="136" t="s">
        <v>863</v>
      </c>
      <c r="E125" s="137" t="s">
        <v>748</v>
      </c>
      <c r="F125" s="137">
        <v>215.21</v>
      </c>
      <c r="G125" s="137">
        <v>0</v>
      </c>
      <c r="H125" s="138">
        <v>4.7</v>
      </c>
      <c r="I125" s="139">
        <v>45.79</v>
      </c>
      <c r="J125" s="139">
        <v>0</v>
      </c>
      <c r="K125" s="100">
        <v>29</v>
      </c>
      <c r="L125" s="100">
        <v>8701</v>
      </c>
    </row>
    <row r="126" spans="1:256">
      <c r="A126" s="121"/>
      <c r="B126" s="135" t="s">
        <v>720</v>
      </c>
      <c r="C126" s="135" t="s">
        <v>864</v>
      </c>
      <c r="D126" s="136" t="s">
        <v>865</v>
      </c>
      <c r="E126" s="137" t="s">
        <v>866</v>
      </c>
      <c r="F126" s="137">
        <v>157.68</v>
      </c>
      <c r="G126" s="137">
        <v>157.68</v>
      </c>
      <c r="H126" s="138">
        <v>8</v>
      </c>
      <c r="I126" s="139">
        <v>19.71</v>
      </c>
      <c r="J126" s="139">
        <v>19.71</v>
      </c>
      <c r="K126" s="100">
        <v>29</v>
      </c>
      <c r="L126" s="100">
        <v>57</v>
      </c>
    </row>
    <row r="127" spans="1:256">
      <c r="A127" s="121"/>
      <c r="B127" s="135" t="s">
        <v>720</v>
      </c>
      <c r="C127" s="135" t="s">
        <v>867</v>
      </c>
      <c r="D127" s="136" t="s">
        <v>868</v>
      </c>
      <c r="E127" s="137" t="s">
        <v>20</v>
      </c>
      <c r="F127" s="137">
        <v>159.19999999999999</v>
      </c>
      <c r="G127" s="137">
        <v>159.19999999999999</v>
      </c>
      <c r="H127" s="138">
        <v>8</v>
      </c>
      <c r="I127" s="139">
        <v>19.899999999999999</v>
      </c>
      <c r="J127" s="139">
        <v>19.899999999999999</v>
      </c>
      <c r="K127" s="100">
        <v>29</v>
      </c>
      <c r="L127" s="100">
        <v>58</v>
      </c>
    </row>
    <row r="128" spans="1:256" ht="22.5">
      <c r="A128" s="121"/>
      <c r="B128" s="135" t="s">
        <v>703</v>
      </c>
      <c r="C128" s="135" t="s">
        <v>869</v>
      </c>
      <c r="D128" s="136" t="s">
        <v>870</v>
      </c>
      <c r="E128" s="137" t="s">
        <v>433</v>
      </c>
      <c r="F128" s="137">
        <v>3.8</v>
      </c>
      <c r="G128" s="137">
        <v>0</v>
      </c>
      <c r="H128" s="138">
        <v>20</v>
      </c>
      <c r="I128" s="139">
        <v>0.19</v>
      </c>
      <c r="J128" s="139">
        <v>0</v>
      </c>
      <c r="K128" s="100">
        <v>29</v>
      </c>
      <c r="L128" s="100">
        <v>10812</v>
      </c>
    </row>
    <row r="129" spans="1:256">
      <c r="A129" s="121"/>
      <c r="B129" s="135" t="s">
        <v>720</v>
      </c>
      <c r="C129" s="135" t="s">
        <v>871</v>
      </c>
      <c r="D129" s="136" t="s">
        <v>872</v>
      </c>
      <c r="E129" s="137" t="s">
        <v>873</v>
      </c>
      <c r="F129" s="137">
        <v>58.6</v>
      </c>
      <c r="G129" s="137">
        <v>58.6</v>
      </c>
      <c r="H129" s="138">
        <v>2</v>
      </c>
      <c r="I129" s="139">
        <v>29.3</v>
      </c>
      <c r="J129" s="139">
        <v>29.3</v>
      </c>
      <c r="K129" s="100">
        <v>29</v>
      </c>
      <c r="L129" s="100">
        <v>60</v>
      </c>
    </row>
    <row r="130" spans="1:256">
      <c r="A130" s="121"/>
      <c r="B130" s="135" t="s">
        <v>703</v>
      </c>
      <c r="C130" s="135" t="s">
        <v>874</v>
      </c>
      <c r="D130" s="136" t="s">
        <v>875</v>
      </c>
      <c r="E130" s="137" t="s">
        <v>787</v>
      </c>
      <c r="F130" s="137">
        <v>14.35</v>
      </c>
      <c r="G130" s="137">
        <v>0</v>
      </c>
      <c r="H130" s="138">
        <v>0.3</v>
      </c>
      <c r="I130" s="139">
        <v>47.86</v>
      </c>
      <c r="J130" s="139">
        <v>0</v>
      </c>
      <c r="K130" s="100">
        <v>29</v>
      </c>
      <c r="L130" s="100">
        <v>7709</v>
      </c>
    </row>
    <row r="131" spans="1:256">
      <c r="A131" s="121"/>
      <c r="B131" s="135" t="s">
        <v>707</v>
      </c>
      <c r="C131" s="135" t="s">
        <v>778</v>
      </c>
      <c r="D131" s="136" t="s">
        <v>779</v>
      </c>
      <c r="E131" s="137" t="s">
        <v>710</v>
      </c>
      <c r="F131" s="137">
        <v>483</v>
      </c>
      <c r="G131" s="137">
        <v>0</v>
      </c>
      <c r="H131" s="138">
        <v>20</v>
      </c>
      <c r="I131" s="139">
        <v>24.15</v>
      </c>
      <c r="J131" s="139">
        <v>0</v>
      </c>
      <c r="K131" s="100">
        <v>29</v>
      </c>
      <c r="L131" s="100">
        <v>7182</v>
      </c>
    </row>
    <row r="132" spans="1:256">
      <c r="A132" s="121"/>
      <c r="B132" s="135" t="s">
        <v>703</v>
      </c>
      <c r="C132" s="135" t="s">
        <v>876</v>
      </c>
      <c r="D132" s="136" t="s">
        <v>877</v>
      </c>
      <c r="E132" s="137" t="s">
        <v>818</v>
      </c>
      <c r="F132" s="137">
        <v>277.60000000000002</v>
      </c>
      <c r="G132" s="137">
        <v>0</v>
      </c>
      <c r="H132" s="138">
        <v>20</v>
      </c>
      <c r="I132" s="139">
        <v>13.88</v>
      </c>
      <c r="J132" s="139">
        <v>0</v>
      </c>
      <c r="K132" s="100">
        <v>29</v>
      </c>
      <c r="L132" s="100">
        <v>7745</v>
      </c>
    </row>
    <row r="133" spans="1:256">
      <c r="A133" s="101"/>
      <c r="B133" s="112"/>
      <c r="C133" s="128"/>
      <c r="D133" s="114"/>
      <c r="E133" s="112"/>
      <c r="F133" s="112"/>
      <c r="G133" s="112"/>
      <c r="H133" s="112"/>
      <c r="I133" s="110"/>
      <c r="J133" s="111"/>
      <c r="K133" s="99">
        <v>29</v>
      </c>
      <c r="IU133" s="99"/>
      <c r="IV133" s="99"/>
    </row>
    <row r="134" spans="1:256" ht="33.75">
      <c r="A134" s="129" t="s">
        <v>878</v>
      </c>
      <c r="B134" s="130" t="s">
        <v>688</v>
      </c>
      <c r="C134" s="130" t="s">
        <v>551</v>
      </c>
      <c r="D134" s="131" t="s">
        <v>552</v>
      </c>
      <c r="E134" s="130" t="s">
        <v>553</v>
      </c>
      <c r="F134" s="132">
        <v>636.94000000000005</v>
      </c>
      <c r="G134" s="132">
        <v>75.069999999999993</v>
      </c>
      <c r="H134" s="133"/>
      <c r="I134" s="134">
        <v>636.94000000000005</v>
      </c>
      <c r="J134" s="134">
        <v>75.069999999999993</v>
      </c>
      <c r="K134" s="100">
        <v>30</v>
      </c>
      <c r="L134" s="100">
        <v>10</v>
      </c>
    </row>
    <row r="135" spans="1:256">
      <c r="A135" s="121"/>
      <c r="B135" s="135" t="s">
        <v>703</v>
      </c>
      <c r="C135" s="135" t="s">
        <v>862</v>
      </c>
      <c r="D135" s="136" t="s">
        <v>863</v>
      </c>
      <c r="E135" s="137" t="s">
        <v>748</v>
      </c>
      <c r="F135" s="137">
        <v>116.3</v>
      </c>
      <c r="G135" s="137">
        <v>0</v>
      </c>
      <c r="H135" s="138">
        <v>2.54</v>
      </c>
      <c r="I135" s="139">
        <v>45.79</v>
      </c>
      <c r="J135" s="139">
        <v>0</v>
      </c>
      <c r="K135" s="100">
        <v>30</v>
      </c>
      <c r="L135" s="100">
        <v>8701</v>
      </c>
    </row>
    <row r="136" spans="1:256">
      <c r="A136" s="121"/>
      <c r="B136" s="135" t="s">
        <v>720</v>
      </c>
      <c r="C136" s="135" t="s">
        <v>864</v>
      </c>
      <c r="D136" s="136" t="s">
        <v>865</v>
      </c>
      <c r="E136" s="137" t="s">
        <v>866</v>
      </c>
      <c r="F136" s="137">
        <v>39.42</v>
      </c>
      <c r="G136" s="137">
        <v>39.42</v>
      </c>
      <c r="H136" s="138">
        <v>2</v>
      </c>
      <c r="I136" s="139">
        <v>19.71</v>
      </c>
      <c r="J136" s="139">
        <v>19.71</v>
      </c>
      <c r="K136" s="100">
        <v>30</v>
      </c>
      <c r="L136" s="100">
        <v>57</v>
      </c>
    </row>
    <row r="137" spans="1:256">
      <c r="A137" s="121"/>
      <c r="B137" s="135" t="s">
        <v>720</v>
      </c>
      <c r="C137" s="135" t="s">
        <v>879</v>
      </c>
      <c r="D137" s="136" t="s">
        <v>880</v>
      </c>
      <c r="E137" s="137" t="s">
        <v>20</v>
      </c>
      <c r="F137" s="137">
        <v>21</v>
      </c>
      <c r="G137" s="137">
        <v>21</v>
      </c>
      <c r="H137" s="138">
        <v>6</v>
      </c>
      <c r="I137" s="139">
        <v>3.5</v>
      </c>
      <c r="J137" s="139">
        <v>3.5</v>
      </c>
      <c r="K137" s="100">
        <v>30</v>
      </c>
      <c r="L137" s="100">
        <v>59</v>
      </c>
    </row>
    <row r="138" spans="1:256" ht="22.5">
      <c r="A138" s="121"/>
      <c r="B138" s="135" t="s">
        <v>703</v>
      </c>
      <c r="C138" s="135" t="s">
        <v>869</v>
      </c>
      <c r="D138" s="136" t="s">
        <v>870</v>
      </c>
      <c r="E138" s="137" t="s">
        <v>433</v>
      </c>
      <c r="F138" s="137">
        <v>1.9</v>
      </c>
      <c r="G138" s="137">
        <v>0</v>
      </c>
      <c r="H138" s="138">
        <v>10</v>
      </c>
      <c r="I138" s="139">
        <v>0.19</v>
      </c>
      <c r="J138" s="139">
        <v>0</v>
      </c>
      <c r="K138" s="100">
        <v>30</v>
      </c>
      <c r="L138" s="100">
        <v>10812</v>
      </c>
    </row>
    <row r="139" spans="1:256">
      <c r="A139" s="121"/>
      <c r="B139" s="135" t="s">
        <v>720</v>
      </c>
      <c r="C139" s="135" t="s">
        <v>871</v>
      </c>
      <c r="D139" s="136" t="s">
        <v>872</v>
      </c>
      <c r="E139" s="137" t="s">
        <v>873</v>
      </c>
      <c r="F139" s="137">
        <v>14.65</v>
      </c>
      <c r="G139" s="137">
        <v>14.65</v>
      </c>
      <c r="H139" s="138">
        <v>0.5</v>
      </c>
      <c r="I139" s="139">
        <v>29.3</v>
      </c>
      <c r="J139" s="139">
        <v>29.3</v>
      </c>
      <c r="K139" s="100">
        <v>30</v>
      </c>
      <c r="L139" s="100">
        <v>60</v>
      </c>
    </row>
    <row r="140" spans="1:256">
      <c r="A140" s="121"/>
      <c r="B140" s="135" t="s">
        <v>703</v>
      </c>
      <c r="C140" s="135" t="s">
        <v>874</v>
      </c>
      <c r="D140" s="136" t="s">
        <v>875</v>
      </c>
      <c r="E140" s="137" t="s">
        <v>787</v>
      </c>
      <c r="F140" s="137">
        <v>7.17</v>
      </c>
      <c r="G140" s="137">
        <v>0</v>
      </c>
      <c r="H140" s="138">
        <v>0.15</v>
      </c>
      <c r="I140" s="139">
        <v>47.86</v>
      </c>
      <c r="J140" s="139">
        <v>0</v>
      </c>
      <c r="K140" s="100">
        <v>30</v>
      </c>
      <c r="L140" s="100">
        <v>7709</v>
      </c>
    </row>
    <row r="141" spans="1:256">
      <c r="A141" s="121"/>
      <c r="B141" s="135" t="s">
        <v>707</v>
      </c>
      <c r="C141" s="135" t="s">
        <v>778</v>
      </c>
      <c r="D141" s="136" t="s">
        <v>779</v>
      </c>
      <c r="E141" s="137" t="s">
        <v>710</v>
      </c>
      <c r="F141" s="137">
        <v>241.5</v>
      </c>
      <c r="G141" s="137">
        <v>0</v>
      </c>
      <c r="H141" s="138">
        <v>10</v>
      </c>
      <c r="I141" s="139">
        <v>24.15</v>
      </c>
      <c r="J141" s="139">
        <v>0</v>
      </c>
      <c r="K141" s="100">
        <v>30</v>
      </c>
      <c r="L141" s="100">
        <v>7182</v>
      </c>
    </row>
    <row r="142" spans="1:256">
      <c r="A142" s="121"/>
      <c r="B142" s="135" t="s">
        <v>707</v>
      </c>
      <c r="C142" s="135" t="s">
        <v>780</v>
      </c>
      <c r="D142" s="136" t="s">
        <v>781</v>
      </c>
      <c r="E142" s="137" t="s">
        <v>710</v>
      </c>
      <c r="F142" s="137">
        <v>195</v>
      </c>
      <c r="G142" s="137">
        <v>0</v>
      </c>
      <c r="H142" s="138">
        <v>10</v>
      </c>
      <c r="I142" s="139">
        <v>19.5</v>
      </c>
      <c r="J142" s="139">
        <v>0</v>
      </c>
      <c r="K142" s="100">
        <v>30</v>
      </c>
      <c r="L142" s="100">
        <v>7157</v>
      </c>
    </row>
    <row r="143" spans="1:256">
      <c r="A143" s="121"/>
      <c r="B143" s="135"/>
      <c r="C143" s="135"/>
      <c r="D143" s="136"/>
      <c r="E143" s="137"/>
      <c r="F143" s="137">
        <v>0</v>
      </c>
      <c r="G143" s="137">
        <v>0</v>
      </c>
      <c r="H143" s="138"/>
      <c r="I143" s="139">
        <v>0</v>
      </c>
      <c r="J143" s="139">
        <v>0</v>
      </c>
      <c r="K143" s="100">
        <v>30</v>
      </c>
      <c r="L143" s="100" t="e">
        <f>NA()</f>
        <v>#N/A</v>
      </c>
    </row>
    <row r="144" spans="1:256">
      <c r="A144" s="121"/>
      <c r="B144" s="135"/>
      <c r="C144" s="135"/>
      <c r="D144" s="136"/>
      <c r="E144" s="137"/>
      <c r="F144" s="137">
        <v>0</v>
      </c>
      <c r="G144" s="137">
        <v>0</v>
      </c>
      <c r="H144" s="138"/>
      <c r="I144" s="139">
        <v>0</v>
      </c>
      <c r="J144" s="139">
        <v>0</v>
      </c>
      <c r="K144" s="100">
        <v>30</v>
      </c>
      <c r="L144" s="100" t="e">
        <f>NA()</f>
        <v>#N/A</v>
      </c>
    </row>
    <row r="145" spans="1:256">
      <c r="A145" s="101"/>
      <c r="B145" s="112"/>
      <c r="C145" s="128"/>
      <c r="D145" s="114"/>
      <c r="E145" s="112"/>
      <c r="F145" s="112"/>
      <c r="G145" s="112"/>
      <c r="H145" s="112"/>
      <c r="I145" s="110"/>
      <c r="J145" s="111"/>
      <c r="K145" s="99">
        <v>30</v>
      </c>
      <c r="IU145" s="99"/>
      <c r="IV145" s="99"/>
    </row>
    <row r="146" spans="1:256" ht="22.5">
      <c r="A146" s="129" t="s">
        <v>881</v>
      </c>
      <c r="B146" s="130" t="s">
        <v>688</v>
      </c>
      <c r="C146" s="130" t="s">
        <v>558</v>
      </c>
      <c r="D146" s="131" t="s">
        <v>559</v>
      </c>
      <c r="E146" s="130" t="s">
        <v>20</v>
      </c>
      <c r="F146" s="132">
        <v>970.27</v>
      </c>
      <c r="G146" s="132">
        <v>75.069999999999993</v>
      </c>
      <c r="H146" s="133"/>
      <c r="I146" s="134">
        <v>970.27</v>
      </c>
      <c r="J146" s="134">
        <v>75.069999999999993</v>
      </c>
      <c r="K146" s="100">
        <v>31</v>
      </c>
      <c r="L146" s="100">
        <v>10</v>
      </c>
    </row>
    <row r="147" spans="1:256">
      <c r="A147" s="121"/>
      <c r="B147" s="135" t="s">
        <v>703</v>
      </c>
      <c r="C147" s="135" t="s">
        <v>862</v>
      </c>
      <c r="D147" s="136" t="s">
        <v>863</v>
      </c>
      <c r="E147" s="137" t="s">
        <v>748</v>
      </c>
      <c r="F147" s="137">
        <v>187.73</v>
      </c>
      <c r="G147" s="137">
        <v>0</v>
      </c>
      <c r="H147" s="138">
        <v>4.0999999999999996</v>
      </c>
      <c r="I147" s="139">
        <v>45.79</v>
      </c>
      <c r="J147" s="139">
        <v>0</v>
      </c>
      <c r="K147" s="100">
        <v>31</v>
      </c>
      <c r="L147" s="100">
        <v>8701</v>
      </c>
    </row>
    <row r="148" spans="1:256">
      <c r="A148" s="121"/>
      <c r="B148" s="135" t="s">
        <v>720</v>
      </c>
      <c r="C148" s="135" t="s">
        <v>864</v>
      </c>
      <c r="D148" s="136" t="s">
        <v>865</v>
      </c>
      <c r="E148" s="137" t="s">
        <v>866</v>
      </c>
      <c r="F148" s="137">
        <v>39.42</v>
      </c>
      <c r="G148" s="137">
        <v>39.42</v>
      </c>
      <c r="H148" s="138">
        <v>2</v>
      </c>
      <c r="I148" s="139">
        <v>19.71</v>
      </c>
      <c r="J148" s="139">
        <v>19.71</v>
      </c>
      <c r="K148" s="100">
        <v>31</v>
      </c>
      <c r="L148" s="100">
        <v>57</v>
      </c>
    </row>
    <row r="149" spans="1:256">
      <c r="A149" s="121"/>
      <c r="B149" s="135" t="s">
        <v>720</v>
      </c>
      <c r="C149" s="135" t="s">
        <v>879</v>
      </c>
      <c r="D149" s="136" t="s">
        <v>880</v>
      </c>
      <c r="E149" s="137" t="s">
        <v>20</v>
      </c>
      <c r="F149" s="137">
        <v>21</v>
      </c>
      <c r="G149" s="137">
        <v>21</v>
      </c>
      <c r="H149" s="138">
        <v>6</v>
      </c>
      <c r="I149" s="139">
        <v>3.5</v>
      </c>
      <c r="J149" s="139">
        <v>3.5</v>
      </c>
      <c r="K149" s="100">
        <v>31</v>
      </c>
      <c r="L149" s="100">
        <v>59</v>
      </c>
    </row>
    <row r="150" spans="1:256" ht="22.5">
      <c r="A150" s="121"/>
      <c r="B150" s="135" t="s">
        <v>703</v>
      </c>
      <c r="C150" s="135" t="s">
        <v>869</v>
      </c>
      <c r="D150" s="136" t="s">
        <v>870</v>
      </c>
      <c r="E150" s="137" t="s">
        <v>433</v>
      </c>
      <c r="F150" s="137">
        <v>1.9</v>
      </c>
      <c r="G150" s="137">
        <v>0</v>
      </c>
      <c r="H150" s="138">
        <v>10</v>
      </c>
      <c r="I150" s="139">
        <v>0.19</v>
      </c>
      <c r="J150" s="139">
        <v>0</v>
      </c>
      <c r="K150" s="100">
        <v>31</v>
      </c>
      <c r="L150" s="100">
        <v>10812</v>
      </c>
    </row>
    <row r="151" spans="1:256">
      <c r="A151" s="121"/>
      <c r="B151" s="135" t="s">
        <v>720</v>
      </c>
      <c r="C151" s="135" t="s">
        <v>871</v>
      </c>
      <c r="D151" s="136" t="s">
        <v>872</v>
      </c>
      <c r="E151" s="137" t="s">
        <v>873</v>
      </c>
      <c r="F151" s="137">
        <v>14.65</v>
      </c>
      <c r="G151" s="137">
        <v>14.65</v>
      </c>
      <c r="H151" s="138">
        <v>0.5</v>
      </c>
      <c r="I151" s="139">
        <v>29.3</v>
      </c>
      <c r="J151" s="139">
        <v>29.3</v>
      </c>
      <c r="K151" s="100">
        <v>31</v>
      </c>
      <c r="L151" s="100">
        <v>60</v>
      </c>
    </row>
    <row r="152" spans="1:256">
      <c r="A152" s="121"/>
      <c r="B152" s="135" t="s">
        <v>703</v>
      </c>
      <c r="C152" s="135" t="s">
        <v>874</v>
      </c>
      <c r="D152" s="136" t="s">
        <v>875</v>
      </c>
      <c r="E152" s="137" t="s">
        <v>787</v>
      </c>
      <c r="F152" s="137">
        <v>7.17</v>
      </c>
      <c r="G152" s="137">
        <v>0</v>
      </c>
      <c r="H152" s="138">
        <v>0.15</v>
      </c>
      <c r="I152" s="139">
        <v>47.86</v>
      </c>
      <c r="J152" s="139">
        <v>0</v>
      </c>
      <c r="K152" s="100">
        <v>31</v>
      </c>
      <c r="L152" s="100">
        <v>7709</v>
      </c>
    </row>
    <row r="153" spans="1:256">
      <c r="A153" s="121"/>
      <c r="B153" s="135" t="s">
        <v>707</v>
      </c>
      <c r="C153" s="135" t="s">
        <v>778</v>
      </c>
      <c r="D153" s="136" t="s">
        <v>779</v>
      </c>
      <c r="E153" s="137" t="s">
        <v>710</v>
      </c>
      <c r="F153" s="137">
        <v>386.4</v>
      </c>
      <c r="G153" s="137">
        <v>0</v>
      </c>
      <c r="H153" s="138">
        <v>16</v>
      </c>
      <c r="I153" s="139">
        <v>24.15</v>
      </c>
      <c r="J153" s="139">
        <v>0</v>
      </c>
      <c r="K153" s="100">
        <v>31</v>
      </c>
      <c r="L153" s="100">
        <v>7182</v>
      </c>
    </row>
    <row r="154" spans="1:256">
      <c r="A154" s="121"/>
      <c r="B154" s="135" t="s">
        <v>707</v>
      </c>
      <c r="C154" s="135" t="s">
        <v>780</v>
      </c>
      <c r="D154" s="136" t="s">
        <v>781</v>
      </c>
      <c r="E154" s="137" t="s">
        <v>710</v>
      </c>
      <c r="F154" s="137">
        <v>312</v>
      </c>
      <c r="G154" s="137">
        <v>0</v>
      </c>
      <c r="H154" s="138">
        <v>16</v>
      </c>
      <c r="I154" s="139">
        <v>19.5</v>
      </c>
      <c r="J154" s="139">
        <v>0</v>
      </c>
      <c r="K154" s="100">
        <v>31</v>
      </c>
      <c r="L154" s="100">
        <v>7157</v>
      </c>
    </row>
    <row r="155" spans="1:256">
      <c r="A155" s="121"/>
      <c r="B155" s="135"/>
      <c r="C155" s="135"/>
      <c r="D155" s="136"/>
      <c r="E155" s="137"/>
      <c r="F155" s="137">
        <v>0</v>
      </c>
      <c r="G155" s="137">
        <v>0</v>
      </c>
      <c r="H155" s="138"/>
      <c r="I155" s="139">
        <v>0</v>
      </c>
      <c r="J155" s="139">
        <v>0</v>
      </c>
      <c r="K155" s="100">
        <v>31</v>
      </c>
      <c r="L155" s="100" t="e">
        <f>NA()</f>
        <v>#N/A</v>
      </c>
    </row>
    <row r="156" spans="1:256">
      <c r="A156" s="121"/>
      <c r="B156" s="135"/>
      <c r="C156" s="135"/>
      <c r="D156" s="136"/>
      <c r="E156" s="137"/>
      <c r="F156" s="137">
        <v>0</v>
      </c>
      <c r="G156" s="137">
        <v>0</v>
      </c>
      <c r="H156" s="138"/>
      <c r="I156" s="139">
        <v>0</v>
      </c>
      <c r="J156" s="139">
        <v>0</v>
      </c>
      <c r="K156" s="100">
        <v>31</v>
      </c>
      <c r="L156" s="100" t="e">
        <f>NA()</f>
        <v>#N/A</v>
      </c>
    </row>
    <row r="157" spans="1:256">
      <c r="A157" s="101"/>
      <c r="B157" s="112"/>
      <c r="C157" s="128"/>
      <c r="D157" s="114"/>
      <c r="E157" s="112"/>
      <c r="F157" s="112"/>
      <c r="G157" s="112"/>
      <c r="H157" s="112"/>
      <c r="I157" s="110"/>
      <c r="J157" s="111"/>
      <c r="K157" s="99">
        <v>31</v>
      </c>
      <c r="IU157" s="99"/>
      <c r="IV157" s="99"/>
    </row>
    <row r="158" spans="1:256" ht="33.75">
      <c r="A158" s="129" t="s">
        <v>882</v>
      </c>
      <c r="B158" s="130" t="s">
        <v>688</v>
      </c>
      <c r="C158" s="130" t="s">
        <v>561</v>
      </c>
      <c r="D158" s="131" t="s">
        <v>562</v>
      </c>
      <c r="E158" s="130" t="s">
        <v>20</v>
      </c>
      <c r="F158" s="132">
        <v>3549.24</v>
      </c>
      <c r="G158" s="132">
        <v>425</v>
      </c>
      <c r="H158" s="133"/>
      <c r="I158" s="134">
        <v>3549.24</v>
      </c>
      <c r="J158" s="134">
        <v>425</v>
      </c>
      <c r="K158" s="100">
        <v>32</v>
      </c>
      <c r="L158" s="100">
        <v>13</v>
      </c>
    </row>
    <row r="159" spans="1:256">
      <c r="A159" s="121"/>
      <c r="B159" s="135" t="s">
        <v>703</v>
      </c>
      <c r="C159" s="135" t="s">
        <v>862</v>
      </c>
      <c r="D159" s="136" t="s">
        <v>863</v>
      </c>
      <c r="E159" s="137" t="s">
        <v>748</v>
      </c>
      <c r="F159" s="137">
        <v>2128.31</v>
      </c>
      <c r="G159" s="137">
        <v>0</v>
      </c>
      <c r="H159" s="138">
        <v>46.48</v>
      </c>
      <c r="I159" s="139">
        <v>45.79</v>
      </c>
      <c r="J159" s="139">
        <v>0</v>
      </c>
      <c r="K159" s="100">
        <v>32</v>
      </c>
      <c r="L159" s="100">
        <v>8701</v>
      </c>
    </row>
    <row r="160" spans="1:256">
      <c r="A160" s="121"/>
      <c r="B160" s="135" t="s">
        <v>720</v>
      </c>
      <c r="C160" s="135" t="s">
        <v>864</v>
      </c>
      <c r="D160" s="136" t="s">
        <v>865</v>
      </c>
      <c r="E160" s="137" t="s">
        <v>866</v>
      </c>
      <c r="F160" s="137">
        <v>197.1</v>
      </c>
      <c r="G160" s="137">
        <v>197.1</v>
      </c>
      <c r="H160" s="138">
        <v>10</v>
      </c>
      <c r="I160" s="139">
        <v>19.71</v>
      </c>
      <c r="J160" s="139">
        <v>19.71</v>
      </c>
      <c r="K160" s="100">
        <v>32</v>
      </c>
      <c r="L160" s="100">
        <v>57</v>
      </c>
    </row>
    <row r="161" spans="1:256">
      <c r="A161" s="121"/>
      <c r="B161" s="135" t="s">
        <v>720</v>
      </c>
      <c r="C161" s="135" t="s">
        <v>879</v>
      </c>
      <c r="D161" s="136" t="s">
        <v>880</v>
      </c>
      <c r="E161" s="137" t="s">
        <v>20</v>
      </c>
      <c r="F161" s="137">
        <v>140</v>
      </c>
      <c r="G161" s="137">
        <v>140</v>
      </c>
      <c r="H161" s="138">
        <v>40</v>
      </c>
      <c r="I161" s="139">
        <v>3.5</v>
      </c>
      <c r="J161" s="139">
        <v>3.5</v>
      </c>
      <c r="K161" s="100">
        <v>32</v>
      </c>
      <c r="L161" s="100">
        <v>59</v>
      </c>
    </row>
    <row r="162" spans="1:256" ht="22.5">
      <c r="A162" s="121"/>
      <c r="B162" s="135" t="s">
        <v>703</v>
      </c>
      <c r="C162" s="135" t="s">
        <v>883</v>
      </c>
      <c r="D162" s="136" t="s">
        <v>884</v>
      </c>
      <c r="E162" s="137" t="s">
        <v>713</v>
      </c>
      <c r="F162" s="137">
        <v>51.64</v>
      </c>
      <c r="G162" s="137">
        <v>0</v>
      </c>
      <c r="H162" s="138">
        <v>2.4</v>
      </c>
      <c r="I162" s="139">
        <v>21.52</v>
      </c>
      <c r="J162" s="139">
        <v>0</v>
      </c>
      <c r="K162" s="100">
        <v>32</v>
      </c>
      <c r="L162" s="100">
        <v>12033</v>
      </c>
    </row>
    <row r="163" spans="1:256" ht="22.5">
      <c r="A163" s="121"/>
      <c r="B163" s="135" t="s">
        <v>703</v>
      </c>
      <c r="C163" s="135" t="s">
        <v>869</v>
      </c>
      <c r="D163" s="136" t="s">
        <v>870</v>
      </c>
      <c r="E163" s="137" t="s">
        <v>433</v>
      </c>
      <c r="F163" s="137">
        <v>19</v>
      </c>
      <c r="G163" s="137">
        <v>0</v>
      </c>
      <c r="H163" s="138">
        <v>100</v>
      </c>
      <c r="I163" s="139">
        <v>0.19</v>
      </c>
      <c r="J163" s="139">
        <v>0</v>
      </c>
      <c r="K163" s="100">
        <v>32</v>
      </c>
      <c r="L163" s="100">
        <v>10812</v>
      </c>
    </row>
    <row r="164" spans="1:256" ht="33.75">
      <c r="A164" s="121"/>
      <c r="B164" s="135" t="s">
        <v>798</v>
      </c>
      <c r="C164" s="135" t="s">
        <v>885</v>
      </c>
      <c r="D164" s="136" t="s">
        <v>886</v>
      </c>
      <c r="E164" s="137" t="s">
        <v>248</v>
      </c>
      <c r="F164" s="137">
        <v>28.36</v>
      </c>
      <c r="G164" s="137">
        <v>0</v>
      </c>
      <c r="H164" s="138">
        <v>2</v>
      </c>
      <c r="I164" s="139">
        <v>14.18</v>
      </c>
      <c r="J164" s="139">
        <v>0</v>
      </c>
      <c r="K164" s="100">
        <v>32</v>
      </c>
      <c r="L164" s="100">
        <v>15556</v>
      </c>
    </row>
    <row r="165" spans="1:256">
      <c r="A165" s="121"/>
      <c r="B165" s="135" t="s">
        <v>720</v>
      </c>
      <c r="C165" s="135" t="s">
        <v>871</v>
      </c>
      <c r="D165" s="136" t="s">
        <v>872</v>
      </c>
      <c r="E165" s="137" t="s">
        <v>873</v>
      </c>
      <c r="F165" s="137">
        <v>87.9</v>
      </c>
      <c r="G165" s="137">
        <v>87.9</v>
      </c>
      <c r="H165" s="138">
        <v>3</v>
      </c>
      <c r="I165" s="139">
        <v>29.3</v>
      </c>
      <c r="J165" s="139">
        <v>29.3</v>
      </c>
      <c r="K165" s="100">
        <v>32</v>
      </c>
      <c r="L165" s="100">
        <v>60</v>
      </c>
    </row>
    <row r="166" spans="1:256">
      <c r="A166" s="121"/>
      <c r="B166" s="135" t="s">
        <v>703</v>
      </c>
      <c r="C166" s="135" t="s">
        <v>874</v>
      </c>
      <c r="D166" s="136" t="s">
        <v>875</v>
      </c>
      <c r="E166" s="137" t="s">
        <v>787</v>
      </c>
      <c r="F166" s="137">
        <v>23.93</v>
      </c>
      <c r="G166" s="137">
        <v>0</v>
      </c>
      <c r="H166" s="138">
        <v>0.5</v>
      </c>
      <c r="I166" s="139">
        <v>47.86</v>
      </c>
      <c r="J166" s="139">
        <v>0</v>
      </c>
      <c r="K166" s="100">
        <v>32</v>
      </c>
      <c r="L166" s="100">
        <v>7709</v>
      </c>
    </row>
    <row r="167" spans="1:256">
      <c r="A167" s="121"/>
      <c r="B167" s="135" t="s">
        <v>707</v>
      </c>
      <c r="C167" s="135" t="s">
        <v>778</v>
      </c>
      <c r="D167" s="136" t="s">
        <v>779</v>
      </c>
      <c r="E167" s="137" t="s">
        <v>710</v>
      </c>
      <c r="F167" s="137">
        <v>483</v>
      </c>
      <c r="G167" s="137">
        <v>0</v>
      </c>
      <c r="H167" s="138">
        <v>20</v>
      </c>
      <c r="I167" s="139">
        <v>24.15</v>
      </c>
      <c r="J167" s="139">
        <v>0</v>
      </c>
      <c r="K167" s="100">
        <v>32</v>
      </c>
      <c r="L167" s="100">
        <v>7182</v>
      </c>
    </row>
    <row r="168" spans="1:256">
      <c r="A168" s="121"/>
      <c r="B168" s="135" t="s">
        <v>707</v>
      </c>
      <c r="C168" s="135" t="s">
        <v>780</v>
      </c>
      <c r="D168" s="136" t="s">
        <v>781</v>
      </c>
      <c r="E168" s="137" t="s">
        <v>710</v>
      </c>
      <c r="F168" s="137">
        <v>390</v>
      </c>
      <c r="G168" s="137">
        <v>0</v>
      </c>
      <c r="H168" s="138">
        <v>20</v>
      </c>
      <c r="I168" s="139">
        <v>19.5</v>
      </c>
      <c r="J168" s="139">
        <v>0</v>
      </c>
      <c r="K168" s="100">
        <v>32</v>
      </c>
      <c r="L168" s="100">
        <v>7157</v>
      </c>
    </row>
    <row r="169" spans="1:256">
      <c r="A169" s="121"/>
      <c r="B169" s="135"/>
      <c r="C169" s="135"/>
      <c r="D169" s="136"/>
      <c r="E169" s="137"/>
      <c r="F169" s="137">
        <v>0</v>
      </c>
      <c r="G169" s="137">
        <v>0</v>
      </c>
      <c r="H169" s="138"/>
      <c r="I169" s="139">
        <v>0</v>
      </c>
      <c r="J169" s="139">
        <v>0</v>
      </c>
      <c r="K169" s="100">
        <v>32</v>
      </c>
      <c r="L169" s="100" t="e">
        <f>NA()</f>
        <v>#N/A</v>
      </c>
    </row>
    <row r="170" spans="1:256">
      <c r="A170" s="121"/>
      <c r="B170" s="135"/>
      <c r="C170" s="135"/>
      <c r="D170" s="136"/>
      <c r="E170" s="137"/>
      <c r="F170" s="137">
        <v>0</v>
      </c>
      <c r="G170" s="137">
        <v>0</v>
      </c>
      <c r="H170" s="138"/>
      <c r="I170" s="139">
        <v>0</v>
      </c>
      <c r="J170" s="139">
        <v>0</v>
      </c>
      <c r="K170" s="100">
        <v>32</v>
      </c>
      <c r="L170" s="100" t="e">
        <f>NA()</f>
        <v>#N/A</v>
      </c>
    </row>
    <row r="171" spans="1:256">
      <c r="A171" s="121"/>
      <c r="B171" s="135"/>
      <c r="C171" s="135"/>
      <c r="D171" s="136"/>
      <c r="E171" s="137"/>
      <c r="F171" s="137">
        <v>0</v>
      </c>
      <c r="G171" s="137">
        <v>0</v>
      </c>
      <c r="H171" s="138"/>
      <c r="I171" s="139">
        <v>0</v>
      </c>
      <c r="J171" s="139">
        <v>0</v>
      </c>
      <c r="K171" s="100">
        <v>32</v>
      </c>
      <c r="L171" s="100" t="e">
        <f>NA()</f>
        <v>#N/A</v>
      </c>
    </row>
    <row r="172" spans="1:256">
      <c r="A172" s="101"/>
      <c r="B172" s="112"/>
      <c r="C172" s="128"/>
      <c r="D172" s="114"/>
      <c r="E172" s="112"/>
      <c r="F172" s="112"/>
      <c r="G172" s="112"/>
      <c r="H172" s="112"/>
      <c r="I172" s="110"/>
      <c r="J172" s="111"/>
      <c r="K172" s="99">
        <v>32</v>
      </c>
      <c r="IU172" s="99"/>
      <c r="IV172" s="99"/>
    </row>
    <row r="173" spans="1:256" ht="33.75">
      <c r="A173" s="129" t="s">
        <v>887</v>
      </c>
      <c r="B173" s="130" t="s">
        <v>688</v>
      </c>
      <c r="C173" s="130" t="s">
        <v>564</v>
      </c>
      <c r="D173" s="131" t="s">
        <v>565</v>
      </c>
      <c r="E173" s="130" t="s">
        <v>20</v>
      </c>
      <c r="F173" s="132">
        <v>667.03</v>
      </c>
      <c r="G173" s="132">
        <v>68.069999999999993</v>
      </c>
      <c r="H173" s="133"/>
      <c r="I173" s="134">
        <v>667.03</v>
      </c>
      <c r="J173" s="134">
        <v>68.069999999999993</v>
      </c>
      <c r="K173" s="100">
        <v>33</v>
      </c>
      <c r="L173" s="100">
        <v>8</v>
      </c>
    </row>
    <row r="174" spans="1:256">
      <c r="A174" s="121"/>
      <c r="B174" s="135" t="s">
        <v>703</v>
      </c>
      <c r="C174" s="135" t="s">
        <v>862</v>
      </c>
      <c r="D174" s="136" t="s">
        <v>863</v>
      </c>
      <c r="E174" s="137" t="s">
        <v>748</v>
      </c>
      <c r="F174" s="137">
        <v>153.38999999999999</v>
      </c>
      <c r="G174" s="137">
        <v>0</v>
      </c>
      <c r="H174" s="138">
        <v>3.35</v>
      </c>
      <c r="I174" s="139">
        <v>45.79</v>
      </c>
      <c r="J174" s="139">
        <v>0</v>
      </c>
      <c r="K174" s="100">
        <v>33</v>
      </c>
      <c r="L174" s="100">
        <v>8701</v>
      </c>
    </row>
    <row r="175" spans="1:256">
      <c r="A175" s="121"/>
      <c r="B175" s="135" t="s">
        <v>720</v>
      </c>
      <c r="C175" s="135" t="s">
        <v>864</v>
      </c>
      <c r="D175" s="136" t="s">
        <v>865</v>
      </c>
      <c r="E175" s="137" t="s">
        <v>866</v>
      </c>
      <c r="F175" s="137">
        <v>39.42</v>
      </c>
      <c r="G175" s="137">
        <v>39.42</v>
      </c>
      <c r="H175" s="138">
        <v>2</v>
      </c>
      <c r="I175" s="139">
        <v>19.71</v>
      </c>
      <c r="J175" s="139">
        <v>19.71</v>
      </c>
      <c r="K175" s="100">
        <v>33</v>
      </c>
      <c r="L175" s="100">
        <v>57</v>
      </c>
    </row>
    <row r="176" spans="1:256">
      <c r="A176" s="121"/>
      <c r="B176" s="135" t="s">
        <v>720</v>
      </c>
      <c r="C176" s="135" t="s">
        <v>879</v>
      </c>
      <c r="D176" s="136" t="s">
        <v>880</v>
      </c>
      <c r="E176" s="137" t="s">
        <v>20</v>
      </c>
      <c r="F176" s="137">
        <v>14</v>
      </c>
      <c r="G176" s="137">
        <v>14</v>
      </c>
      <c r="H176" s="138">
        <v>4</v>
      </c>
      <c r="I176" s="139">
        <v>3.5</v>
      </c>
      <c r="J176" s="139">
        <v>3.5</v>
      </c>
      <c r="K176" s="100">
        <v>33</v>
      </c>
      <c r="L176" s="100">
        <v>59</v>
      </c>
    </row>
    <row r="177" spans="1:256" ht="22.5">
      <c r="A177" s="121"/>
      <c r="B177" s="135" t="s">
        <v>703</v>
      </c>
      <c r="C177" s="135" t="s">
        <v>869</v>
      </c>
      <c r="D177" s="136" t="s">
        <v>870</v>
      </c>
      <c r="E177" s="137" t="s">
        <v>433</v>
      </c>
      <c r="F177" s="137">
        <v>1.9</v>
      </c>
      <c r="G177" s="137">
        <v>0</v>
      </c>
      <c r="H177" s="138">
        <v>10</v>
      </c>
      <c r="I177" s="139">
        <v>0.19</v>
      </c>
      <c r="J177" s="139">
        <v>0</v>
      </c>
      <c r="K177" s="100">
        <v>33</v>
      </c>
      <c r="L177" s="100">
        <v>10812</v>
      </c>
    </row>
    <row r="178" spans="1:256">
      <c r="A178" s="121"/>
      <c r="B178" s="135" t="s">
        <v>720</v>
      </c>
      <c r="C178" s="135" t="s">
        <v>871</v>
      </c>
      <c r="D178" s="136" t="s">
        <v>872</v>
      </c>
      <c r="E178" s="137" t="s">
        <v>873</v>
      </c>
      <c r="F178" s="137">
        <v>14.65</v>
      </c>
      <c r="G178" s="137">
        <v>14.65</v>
      </c>
      <c r="H178" s="138">
        <v>0.5</v>
      </c>
      <c r="I178" s="139">
        <v>29.3</v>
      </c>
      <c r="J178" s="139">
        <v>29.3</v>
      </c>
      <c r="K178" s="100">
        <v>33</v>
      </c>
      <c r="L178" s="100">
        <v>60</v>
      </c>
    </row>
    <row r="179" spans="1:256">
      <c r="A179" s="121"/>
      <c r="B179" s="135" t="s">
        <v>703</v>
      </c>
      <c r="C179" s="135" t="s">
        <v>874</v>
      </c>
      <c r="D179" s="136" t="s">
        <v>875</v>
      </c>
      <c r="E179" s="137" t="s">
        <v>787</v>
      </c>
      <c r="F179" s="137">
        <v>7.17</v>
      </c>
      <c r="G179" s="137">
        <v>0</v>
      </c>
      <c r="H179" s="138">
        <v>0.15</v>
      </c>
      <c r="I179" s="139">
        <v>47.86</v>
      </c>
      <c r="J179" s="139">
        <v>0</v>
      </c>
      <c r="K179" s="100">
        <v>33</v>
      </c>
      <c r="L179" s="100">
        <v>7709</v>
      </c>
    </row>
    <row r="180" spans="1:256">
      <c r="A180" s="121"/>
      <c r="B180" s="135" t="s">
        <v>707</v>
      </c>
      <c r="C180" s="135" t="s">
        <v>778</v>
      </c>
      <c r="D180" s="136" t="s">
        <v>779</v>
      </c>
      <c r="E180" s="137" t="s">
        <v>710</v>
      </c>
      <c r="F180" s="137">
        <v>241.5</v>
      </c>
      <c r="G180" s="137">
        <v>0</v>
      </c>
      <c r="H180" s="138">
        <v>10</v>
      </c>
      <c r="I180" s="139">
        <v>24.15</v>
      </c>
      <c r="J180" s="139">
        <v>0</v>
      </c>
      <c r="K180" s="100">
        <v>33</v>
      </c>
      <c r="L180" s="100">
        <v>7182</v>
      </c>
    </row>
    <row r="181" spans="1:256">
      <c r="A181" s="121"/>
      <c r="B181" s="135" t="s">
        <v>707</v>
      </c>
      <c r="C181" s="135" t="s">
        <v>780</v>
      </c>
      <c r="D181" s="136" t="s">
        <v>781</v>
      </c>
      <c r="E181" s="137" t="s">
        <v>710</v>
      </c>
      <c r="F181" s="137">
        <v>195</v>
      </c>
      <c r="G181" s="137">
        <v>0</v>
      </c>
      <c r="H181" s="138">
        <v>10</v>
      </c>
      <c r="I181" s="139">
        <v>19.5</v>
      </c>
      <c r="J181" s="139">
        <v>0</v>
      </c>
      <c r="K181" s="100">
        <v>33</v>
      </c>
      <c r="L181" s="100">
        <v>7157</v>
      </c>
    </row>
    <row r="182" spans="1:256">
      <c r="A182" s="101"/>
      <c r="B182" s="112"/>
      <c r="C182" s="128"/>
      <c r="D182" s="114"/>
      <c r="E182" s="112"/>
      <c r="F182" s="112"/>
      <c r="G182" s="112"/>
      <c r="H182" s="112"/>
      <c r="I182" s="110"/>
      <c r="J182" s="111"/>
      <c r="K182" s="99">
        <v>33</v>
      </c>
      <c r="IU182" s="99"/>
      <c r="IV182" s="99"/>
    </row>
    <row r="183" spans="1:256" ht="33.75">
      <c r="A183" s="129" t="s">
        <v>888</v>
      </c>
      <c r="B183" s="130" t="s">
        <v>688</v>
      </c>
      <c r="C183" s="130" t="s">
        <v>567</v>
      </c>
      <c r="D183" s="131" t="s">
        <v>568</v>
      </c>
      <c r="E183" s="130" t="s">
        <v>20</v>
      </c>
      <c r="F183" s="132">
        <v>1571.75</v>
      </c>
      <c r="G183" s="132">
        <v>441.8</v>
      </c>
      <c r="H183" s="133"/>
      <c r="I183" s="134">
        <v>1571.75</v>
      </c>
      <c r="J183" s="134">
        <v>441.8</v>
      </c>
      <c r="K183" s="100">
        <v>34</v>
      </c>
      <c r="L183" s="100">
        <v>11</v>
      </c>
    </row>
    <row r="184" spans="1:256">
      <c r="A184" s="121"/>
      <c r="B184" s="135" t="s">
        <v>703</v>
      </c>
      <c r="C184" s="135" t="s">
        <v>862</v>
      </c>
      <c r="D184" s="136" t="s">
        <v>863</v>
      </c>
      <c r="E184" s="137" t="s">
        <v>748</v>
      </c>
      <c r="F184" s="137">
        <v>351.2</v>
      </c>
      <c r="G184" s="137">
        <v>0</v>
      </c>
      <c r="H184" s="138">
        <v>7.67</v>
      </c>
      <c r="I184" s="139">
        <v>45.79</v>
      </c>
      <c r="J184" s="139">
        <v>0</v>
      </c>
      <c r="K184" s="100">
        <v>34</v>
      </c>
      <c r="L184" s="100">
        <v>8701</v>
      </c>
    </row>
    <row r="185" spans="1:256">
      <c r="A185" s="121"/>
      <c r="B185" s="135" t="s">
        <v>720</v>
      </c>
      <c r="C185" s="135" t="s">
        <v>864</v>
      </c>
      <c r="D185" s="136" t="s">
        <v>865</v>
      </c>
      <c r="E185" s="137" t="s">
        <v>866</v>
      </c>
      <c r="F185" s="137">
        <v>197.1</v>
      </c>
      <c r="G185" s="137">
        <v>197.1</v>
      </c>
      <c r="H185" s="138">
        <v>10</v>
      </c>
      <c r="I185" s="139">
        <v>19.71</v>
      </c>
      <c r="J185" s="139">
        <v>19.71</v>
      </c>
      <c r="K185" s="100">
        <v>34</v>
      </c>
      <c r="L185" s="100">
        <v>57</v>
      </c>
    </row>
    <row r="186" spans="1:256">
      <c r="A186" s="121"/>
      <c r="B186" s="135" t="s">
        <v>720</v>
      </c>
      <c r="C186" s="135" t="s">
        <v>867</v>
      </c>
      <c r="D186" s="136" t="s">
        <v>868</v>
      </c>
      <c r="E186" s="137" t="s">
        <v>20</v>
      </c>
      <c r="F186" s="137">
        <v>179.1</v>
      </c>
      <c r="G186" s="137">
        <v>179.1</v>
      </c>
      <c r="H186" s="138">
        <v>9</v>
      </c>
      <c r="I186" s="139">
        <v>19.899999999999999</v>
      </c>
      <c r="J186" s="139">
        <v>19.899999999999999</v>
      </c>
      <c r="K186" s="100">
        <v>34</v>
      </c>
      <c r="L186" s="100">
        <v>58</v>
      </c>
    </row>
    <row r="187" spans="1:256">
      <c r="A187" s="121"/>
      <c r="B187" s="135" t="s">
        <v>720</v>
      </c>
      <c r="C187" s="135" t="s">
        <v>879</v>
      </c>
      <c r="D187" s="136" t="s">
        <v>880</v>
      </c>
      <c r="E187" s="137" t="s">
        <v>20</v>
      </c>
      <c r="F187" s="137">
        <v>7</v>
      </c>
      <c r="G187" s="137">
        <v>7</v>
      </c>
      <c r="H187" s="138">
        <v>2</v>
      </c>
      <c r="I187" s="139">
        <v>3.5</v>
      </c>
      <c r="J187" s="139">
        <v>3.5</v>
      </c>
      <c r="K187" s="100">
        <v>34</v>
      </c>
      <c r="L187" s="100">
        <v>59</v>
      </c>
    </row>
    <row r="188" spans="1:256" ht="22.5">
      <c r="A188" s="121"/>
      <c r="B188" s="135" t="s">
        <v>703</v>
      </c>
      <c r="C188" s="135" t="s">
        <v>869</v>
      </c>
      <c r="D188" s="136" t="s">
        <v>870</v>
      </c>
      <c r="E188" s="137" t="s">
        <v>433</v>
      </c>
      <c r="F188" s="137">
        <v>3.8</v>
      </c>
      <c r="G188" s="137">
        <v>0</v>
      </c>
      <c r="H188" s="138">
        <v>20</v>
      </c>
      <c r="I188" s="139">
        <v>0.19</v>
      </c>
      <c r="J188" s="139">
        <v>0</v>
      </c>
      <c r="K188" s="100">
        <v>34</v>
      </c>
      <c r="L188" s="100">
        <v>10812</v>
      </c>
    </row>
    <row r="189" spans="1:256">
      <c r="A189" s="121"/>
      <c r="B189" s="135" t="s">
        <v>720</v>
      </c>
      <c r="C189" s="135" t="s">
        <v>871</v>
      </c>
      <c r="D189" s="136" t="s">
        <v>872</v>
      </c>
      <c r="E189" s="137" t="s">
        <v>873</v>
      </c>
      <c r="F189" s="137">
        <v>58.6</v>
      </c>
      <c r="G189" s="137">
        <v>58.6</v>
      </c>
      <c r="H189" s="138">
        <v>2</v>
      </c>
      <c r="I189" s="139">
        <v>29.3</v>
      </c>
      <c r="J189" s="139">
        <v>29.3</v>
      </c>
      <c r="K189" s="100">
        <v>34</v>
      </c>
      <c r="L189" s="100">
        <v>60</v>
      </c>
    </row>
    <row r="190" spans="1:256">
      <c r="A190" s="121"/>
      <c r="B190" s="135" t="s">
        <v>703</v>
      </c>
      <c r="C190" s="135" t="s">
        <v>874</v>
      </c>
      <c r="D190" s="136" t="s">
        <v>875</v>
      </c>
      <c r="E190" s="137" t="s">
        <v>787</v>
      </c>
      <c r="F190" s="137">
        <v>14.35</v>
      </c>
      <c r="G190" s="137">
        <v>0</v>
      </c>
      <c r="H190" s="138">
        <v>0.3</v>
      </c>
      <c r="I190" s="139">
        <v>47.86</v>
      </c>
      <c r="J190" s="139">
        <v>0</v>
      </c>
      <c r="K190" s="100">
        <v>34</v>
      </c>
      <c r="L190" s="100">
        <v>7709</v>
      </c>
    </row>
    <row r="191" spans="1:256">
      <c r="A191" s="121"/>
      <c r="B191" s="135" t="s">
        <v>707</v>
      </c>
      <c r="C191" s="135" t="s">
        <v>778</v>
      </c>
      <c r="D191" s="136" t="s">
        <v>779</v>
      </c>
      <c r="E191" s="137" t="s">
        <v>710</v>
      </c>
      <c r="F191" s="137">
        <v>483</v>
      </c>
      <c r="G191" s="137">
        <v>0</v>
      </c>
      <c r="H191" s="138">
        <v>20</v>
      </c>
      <c r="I191" s="139">
        <v>24.15</v>
      </c>
      <c r="J191" s="139">
        <v>0</v>
      </c>
      <c r="K191" s="100">
        <v>34</v>
      </c>
      <c r="L191" s="100">
        <v>7182</v>
      </c>
    </row>
    <row r="192" spans="1:256">
      <c r="A192" s="121"/>
      <c r="B192" s="135" t="s">
        <v>703</v>
      </c>
      <c r="C192" s="135" t="s">
        <v>876</v>
      </c>
      <c r="D192" s="136" t="s">
        <v>877</v>
      </c>
      <c r="E192" s="137" t="s">
        <v>818</v>
      </c>
      <c r="F192" s="137">
        <v>277.60000000000002</v>
      </c>
      <c r="G192" s="137">
        <v>0</v>
      </c>
      <c r="H192" s="138">
        <v>20</v>
      </c>
      <c r="I192" s="139">
        <v>13.88</v>
      </c>
      <c r="J192" s="139">
        <v>0</v>
      </c>
      <c r="K192" s="100">
        <v>34</v>
      </c>
      <c r="L192" s="100">
        <v>7745</v>
      </c>
    </row>
    <row r="193" spans="1:256">
      <c r="A193" s="121"/>
      <c r="B193" s="135"/>
      <c r="C193" s="135"/>
      <c r="D193" s="136"/>
      <c r="E193" s="137"/>
      <c r="F193" s="137">
        <v>0</v>
      </c>
      <c r="G193" s="137">
        <v>0</v>
      </c>
      <c r="H193" s="138"/>
      <c r="I193" s="139">
        <v>0</v>
      </c>
      <c r="J193" s="139">
        <v>0</v>
      </c>
      <c r="K193" s="100">
        <v>34</v>
      </c>
      <c r="L193" s="100" t="e">
        <f>NA()</f>
        <v>#N/A</v>
      </c>
    </row>
    <row r="194" spans="1:256">
      <c r="A194" s="121"/>
      <c r="B194" s="135"/>
      <c r="C194" s="135"/>
      <c r="D194" s="136"/>
      <c r="E194" s="137"/>
      <c r="F194" s="137">
        <v>0</v>
      </c>
      <c r="G194" s="137">
        <v>0</v>
      </c>
      <c r="H194" s="138"/>
      <c r="I194" s="139">
        <v>0</v>
      </c>
      <c r="J194" s="139">
        <v>0</v>
      </c>
      <c r="K194" s="100">
        <v>34</v>
      </c>
      <c r="L194" s="100" t="e">
        <f>NA()</f>
        <v>#N/A</v>
      </c>
    </row>
    <row r="195" spans="1:256">
      <c r="A195" s="101"/>
      <c r="B195" s="112"/>
      <c r="C195" s="128"/>
      <c r="D195" s="114"/>
      <c r="E195" s="112"/>
      <c r="F195" s="112"/>
      <c r="G195" s="112"/>
      <c r="H195" s="112"/>
      <c r="I195" s="110"/>
      <c r="J195" s="111"/>
      <c r="K195" s="99">
        <v>34</v>
      </c>
      <c r="IU195" s="99"/>
      <c r="IV195" s="99"/>
    </row>
    <row r="196" spans="1:256" ht="33.75">
      <c r="A196" s="129" t="s">
        <v>889</v>
      </c>
      <c r="B196" s="130" t="s">
        <v>688</v>
      </c>
      <c r="C196" s="130" t="s">
        <v>570</v>
      </c>
      <c r="D196" s="131" t="s">
        <v>571</v>
      </c>
      <c r="E196" s="130" t="s">
        <v>20</v>
      </c>
      <c r="F196" s="132">
        <v>2230.66</v>
      </c>
      <c r="G196" s="132">
        <v>595.86</v>
      </c>
      <c r="H196" s="133"/>
      <c r="I196" s="134">
        <v>2230.66</v>
      </c>
      <c r="J196" s="134">
        <v>595.86</v>
      </c>
      <c r="K196" s="100">
        <v>35</v>
      </c>
      <c r="L196" s="100">
        <v>9</v>
      </c>
    </row>
    <row r="197" spans="1:256">
      <c r="A197" s="121"/>
      <c r="B197" s="135" t="s">
        <v>703</v>
      </c>
      <c r="C197" s="135" t="s">
        <v>862</v>
      </c>
      <c r="D197" s="136" t="s">
        <v>863</v>
      </c>
      <c r="E197" s="137" t="s">
        <v>748</v>
      </c>
      <c r="F197" s="137">
        <v>838.87</v>
      </c>
      <c r="G197" s="137">
        <v>0</v>
      </c>
      <c r="H197" s="138">
        <v>18.32</v>
      </c>
      <c r="I197" s="139">
        <v>45.79</v>
      </c>
      <c r="J197" s="139">
        <v>0</v>
      </c>
      <c r="K197" s="100">
        <v>35</v>
      </c>
      <c r="L197" s="100">
        <v>8701</v>
      </c>
    </row>
    <row r="198" spans="1:256">
      <c r="A198" s="121"/>
      <c r="B198" s="135" t="s">
        <v>720</v>
      </c>
      <c r="C198" s="135" t="s">
        <v>864</v>
      </c>
      <c r="D198" s="136" t="s">
        <v>865</v>
      </c>
      <c r="E198" s="137" t="s">
        <v>866</v>
      </c>
      <c r="F198" s="137">
        <v>118.26</v>
      </c>
      <c r="G198" s="137">
        <v>118.26</v>
      </c>
      <c r="H198" s="138">
        <v>6</v>
      </c>
      <c r="I198" s="139">
        <v>19.71</v>
      </c>
      <c r="J198" s="139">
        <v>19.71</v>
      </c>
      <c r="K198" s="100">
        <v>35</v>
      </c>
      <c r="L198" s="100">
        <v>57</v>
      </c>
    </row>
    <row r="199" spans="1:256">
      <c r="A199" s="121"/>
      <c r="B199" s="135" t="s">
        <v>720</v>
      </c>
      <c r="C199" s="135" t="s">
        <v>867</v>
      </c>
      <c r="D199" s="136" t="s">
        <v>868</v>
      </c>
      <c r="E199" s="137" t="s">
        <v>20</v>
      </c>
      <c r="F199" s="137">
        <v>318.39999999999998</v>
      </c>
      <c r="G199" s="137">
        <v>318.39999999999998</v>
      </c>
      <c r="H199" s="138">
        <v>16</v>
      </c>
      <c r="I199" s="139">
        <v>19.899999999999999</v>
      </c>
      <c r="J199" s="139">
        <v>19.899999999999999</v>
      </c>
      <c r="K199" s="100">
        <v>35</v>
      </c>
      <c r="L199" s="100">
        <v>58</v>
      </c>
    </row>
    <row r="200" spans="1:256">
      <c r="A200" s="121"/>
      <c r="B200" s="135" t="s">
        <v>720</v>
      </c>
      <c r="C200" s="135" t="s">
        <v>879</v>
      </c>
      <c r="D200" s="136" t="s">
        <v>880</v>
      </c>
      <c r="E200" s="137" t="s">
        <v>20</v>
      </c>
      <c r="F200" s="137">
        <v>42</v>
      </c>
      <c r="G200" s="137">
        <v>42</v>
      </c>
      <c r="H200" s="138">
        <v>12</v>
      </c>
      <c r="I200" s="139">
        <v>3.5</v>
      </c>
      <c r="J200" s="139">
        <v>3.5</v>
      </c>
      <c r="K200" s="100">
        <v>35</v>
      </c>
      <c r="L200" s="100">
        <v>59</v>
      </c>
    </row>
    <row r="201" spans="1:256" ht="22.5">
      <c r="A201" s="121"/>
      <c r="B201" s="135" t="s">
        <v>703</v>
      </c>
      <c r="C201" s="135" t="s">
        <v>869</v>
      </c>
      <c r="D201" s="136" t="s">
        <v>870</v>
      </c>
      <c r="E201" s="137" t="s">
        <v>433</v>
      </c>
      <c r="F201" s="137">
        <v>11.4</v>
      </c>
      <c r="G201" s="137">
        <v>0</v>
      </c>
      <c r="H201" s="138">
        <v>60</v>
      </c>
      <c r="I201" s="139">
        <v>0.19</v>
      </c>
      <c r="J201" s="139">
        <v>0</v>
      </c>
      <c r="K201" s="100">
        <v>35</v>
      </c>
      <c r="L201" s="100">
        <v>10812</v>
      </c>
    </row>
    <row r="202" spans="1:256">
      <c r="A202" s="121"/>
      <c r="B202" s="135" t="s">
        <v>720</v>
      </c>
      <c r="C202" s="135" t="s">
        <v>871</v>
      </c>
      <c r="D202" s="136" t="s">
        <v>872</v>
      </c>
      <c r="E202" s="137" t="s">
        <v>873</v>
      </c>
      <c r="F202" s="137">
        <v>117.2</v>
      </c>
      <c r="G202" s="137">
        <v>117.2</v>
      </c>
      <c r="H202" s="138">
        <v>4</v>
      </c>
      <c r="I202" s="139">
        <v>29.3</v>
      </c>
      <c r="J202" s="139">
        <v>29.3</v>
      </c>
      <c r="K202" s="100">
        <v>35</v>
      </c>
      <c r="L202" s="100">
        <v>60</v>
      </c>
    </row>
    <row r="203" spans="1:256">
      <c r="A203" s="121"/>
      <c r="B203" s="135" t="s">
        <v>703</v>
      </c>
      <c r="C203" s="135" t="s">
        <v>874</v>
      </c>
      <c r="D203" s="136" t="s">
        <v>875</v>
      </c>
      <c r="E203" s="137" t="s">
        <v>787</v>
      </c>
      <c r="F203" s="137">
        <v>23.93</v>
      </c>
      <c r="G203" s="137">
        <v>0</v>
      </c>
      <c r="H203" s="138">
        <v>0.5</v>
      </c>
      <c r="I203" s="139">
        <v>47.86</v>
      </c>
      <c r="J203" s="139">
        <v>0</v>
      </c>
      <c r="K203" s="100">
        <v>35</v>
      </c>
      <c r="L203" s="100">
        <v>7709</v>
      </c>
    </row>
    <row r="204" spans="1:256">
      <c r="A204" s="121"/>
      <c r="B204" s="135" t="s">
        <v>707</v>
      </c>
      <c r="C204" s="135" t="s">
        <v>778</v>
      </c>
      <c r="D204" s="136" t="s">
        <v>779</v>
      </c>
      <c r="E204" s="137" t="s">
        <v>710</v>
      </c>
      <c r="F204" s="137">
        <v>483</v>
      </c>
      <c r="G204" s="137">
        <v>0</v>
      </c>
      <c r="H204" s="138">
        <v>20</v>
      </c>
      <c r="I204" s="139">
        <v>24.15</v>
      </c>
      <c r="J204" s="139">
        <v>0</v>
      </c>
      <c r="K204" s="100">
        <v>35</v>
      </c>
      <c r="L204" s="100">
        <v>7182</v>
      </c>
    </row>
    <row r="205" spans="1:256">
      <c r="A205" s="121"/>
      <c r="B205" s="135" t="s">
        <v>703</v>
      </c>
      <c r="C205" s="135" t="s">
        <v>876</v>
      </c>
      <c r="D205" s="136" t="s">
        <v>877</v>
      </c>
      <c r="E205" s="137" t="s">
        <v>818</v>
      </c>
      <c r="F205" s="137">
        <v>277.60000000000002</v>
      </c>
      <c r="G205" s="137">
        <v>0</v>
      </c>
      <c r="H205" s="138">
        <v>20</v>
      </c>
      <c r="I205" s="139">
        <v>13.88</v>
      </c>
      <c r="J205" s="139">
        <v>0</v>
      </c>
      <c r="K205" s="100">
        <v>35</v>
      </c>
      <c r="L205" s="100">
        <v>7745</v>
      </c>
    </row>
    <row r="206" spans="1:256">
      <c r="A206" s="101"/>
      <c r="B206" s="112"/>
      <c r="C206" s="128"/>
      <c r="D206" s="114"/>
      <c r="E206" s="112"/>
      <c r="F206" s="112"/>
      <c r="G206" s="112"/>
      <c r="H206" s="112"/>
      <c r="I206" s="110"/>
      <c r="J206" s="111"/>
      <c r="K206" s="99">
        <v>35</v>
      </c>
      <c r="IU206" s="99"/>
      <c r="IV206" s="99"/>
    </row>
    <row r="207" spans="1:256" ht="33.75">
      <c r="A207" s="129" t="s">
        <v>890</v>
      </c>
      <c r="B207" s="130" t="s">
        <v>688</v>
      </c>
      <c r="C207" s="130" t="s">
        <v>573</v>
      </c>
      <c r="D207" s="131" t="s">
        <v>574</v>
      </c>
      <c r="E207" s="130" t="s">
        <v>20</v>
      </c>
      <c r="F207" s="132">
        <v>4417.24</v>
      </c>
      <c r="G207" s="132">
        <v>989.12</v>
      </c>
      <c r="H207" s="133"/>
      <c r="I207" s="134">
        <v>4417.24</v>
      </c>
      <c r="J207" s="134">
        <v>989.12</v>
      </c>
      <c r="K207" s="100">
        <v>36</v>
      </c>
      <c r="L207" s="100">
        <v>10</v>
      </c>
    </row>
    <row r="208" spans="1:256">
      <c r="A208" s="121"/>
      <c r="B208" s="135" t="s">
        <v>703</v>
      </c>
      <c r="C208" s="135" t="s">
        <v>891</v>
      </c>
      <c r="D208" s="136" t="s">
        <v>892</v>
      </c>
      <c r="E208" s="137" t="s">
        <v>748</v>
      </c>
      <c r="F208" s="137">
        <v>1459.45</v>
      </c>
      <c r="G208" s="137">
        <v>0</v>
      </c>
      <c r="H208" s="138">
        <v>17</v>
      </c>
      <c r="I208" s="139">
        <v>85.85</v>
      </c>
      <c r="J208" s="139">
        <v>0</v>
      </c>
      <c r="K208" s="100">
        <v>36</v>
      </c>
      <c r="L208" s="100">
        <v>8703</v>
      </c>
    </row>
    <row r="209" spans="1:256">
      <c r="A209" s="121"/>
      <c r="B209" s="135" t="s">
        <v>720</v>
      </c>
      <c r="C209" s="135" t="s">
        <v>893</v>
      </c>
      <c r="D209" s="136" t="s">
        <v>894</v>
      </c>
      <c r="E209" s="137" t="s">
        <v>20</v>
      </c>
      <c r="F209" s="137">
        <v>887.22</v>
      </c>
      <c r="G209" s="137">
        <v>887.22</v>
      </c>
      <c r="H209" s="138">
        <v>2</v>
      </c>
      <c r="I209" s="139">
        <v>443.61</v>
      </c>
      <c r="J209" s="139">
        <v>443.61</v>
      </c>
      <c r="K209" s="100">
        <v>36</v>
      </c>
      <c r="L209" s="100">
        <v>65</v>
      </c>
    </row>
    <row r="210" spans="1:256" ht="22.5">
      <c r="A210" s="121"/>
      <c r="B210" s="135" t="s">
        <v>703</v>
      </c>
      <c r="C210" s="135" t="s">
        <v>711</v>
      </c>
      <c r="D210" s="136" t="s">
        <v>712</v>
      </c>
      <c r="E210" s="137" t="s">
        <v>713</v>
      </c>
      <c r="F210" s="137">
        <v>9</v>
      </c>
      <c r="G210" s="137">
        <v>0</v>
      </c>
      <c r="H210" s="138">
        <v>1.2</v>
      </c>
      <c r="I210" s="139">
        <v>7.5</v>
      </c>
      <c r="J210" s="139">
        <v>0</v>
      </c>
      <c r="K210" s="100">
        <v>36</v>
      </c>
      <c r="L210" s="100">
        <v>10953</v>
      </c>
    </row>
    <row r="211" spans="1:256">
      <c r="A211" s="121"/>
      <c r="B211" s="135" t="s">
        <v>720</v>
      </c>
      <c r="C211" s="135" t="s">
        <v>879</v>
      </c>
      <c r="D211" s="136" t="s">
        <v>880</v>
      </c>
      <c r="E211" s="137" t="s">
        <v>20</v>
      </c>
      <c r="F211" s="137">
        <v>14</v>
      </c>
      <c r="G211" s="137">
        <v>14</v>
      </c>
      <c r="H211" s="138">
        <v>4</v>
      </c>
      <c r="I211" s="139">
        <v>3.5</v>
      </c>
      <c r="J211" s="139">
        <v>3.5</v>
      </c>
      <c r="K211" s="100">
        <v>36</v>
      </c>
      <c r="L211" s="100">
        <v>59</v>
      </c>
    </row>
    <row r="212" spans="1:256" ht="22.5">
      <c r="A212" s="121"/>
      <c r="B212" s="135" t="s">
        <v>703</v>
      </c>
      <c r="C212" s="135" t="s">
        <v>895</v>
      </c>
      <c r="D212" s="136" t="s">
        <v>896</v>
      </c>
      <c r="E212" s="137" t="s">
        <v>433</v>
      </c>
      <c r="F212" s="137">
        <v>5.64</v>
      </c>
      <c r="G212" s="137">
        <v>0</v>
      </c>
      <c r="H212" s="138">
        <v>1</v>
      </c>
      <c r="I212" s="139">
        <v>5.64</v>
      </c>
      <c r="J212" s="139">
        <v>0</v>
      </c>
      <c r="K212" s="100">
        <v>36</v>
      </c>
      <c r="L212" s="100">
        <v>9646</v>
      </c>
    </row>
    <row r="213" spans="1:256" ht="22.5">
      <c r="A213" s="121"/>
      <c r="B213" s="135" t="s">
        <v>703</v>
      </c>
      <c r="C213" s="135" t="s">
        <v>869</v>
      </c>
      <c r="D213" s="136" t="s">
        <v>870</v>
      </c>
      <c r="E213" s="137" t="s">
        <v>433</v>
      </c>
      <c r="F213" s="137">
        <v>9.5</v>
      </c>
      <c r="G213" s="137">
        <v>0</v>
      </c>
      <c r="H213" s="138">
        <v>50</v>
      </c>
      <c r="I213" s="139">
        <v>0.19</v>
      </c>
      <c r="J213" s="139">
        <v>0</v>
      </c>
      <c r="K213" s="100">
        <v>36</v>
      </c>
      <c r="L213" s="100">
        <v>10812</v>
      </c>
    </row>
    <row r="214" spans="1:256">
      <c r="A214" s="121"/>
      <c r="B214" s="135" t="s">
        <v>720</v>
      </c>
      <c r="C214" s="135" t="s">
        <v>871</v>
      </c>
      <c r="D214" s="136" t="s">
        <v>872</v>
      </c>
      <c r="E214" s="137" t="s">
        <v>873</v>
      </c>
      <c r="F214" s="137">
        <v>87.9</v>
      </c>
      <c r="G214" s="137">
        <v>87.9</v>
      </c>
      <c r="H214" s="138">
        <v>3</v>
      </c>
      <c r="I214" s="139">
        <v>29.3</v>
      </c>
      <c r="J214" s="139">
        <v>29.3</v>
      </c>
      <c r="K214" s="100">
        <v>36</v>
      </c>
      <c r="L214" s="100">
        <v>60</v>
      </c>
    </row>
    <row r="215" spans="1:256">
      <c r="A215" s="121"/>
      <c r="B215" s="135" t="s">
        <v>703</v>
      </c>
      <c r="C215" s="135" t="s">
        <v>874</v>
      </c>
      <c r="D215" s="136" t="s">
        <v>875</v>
      </c>
      <c r="E215" s="137" t="s">
        <v>787</v>
      </c>
      <c r="F215" s="137">
        <v>23.93</v>
      </c>
      <c r="G215" s="137">
        <v>0</v>
      </c>
      <c r="H215" s="138">
        <v>0.5</v>
      </c>
      <c r="I215" s="139">
        <v>47.86</v>
      </c>
      <c r="J215" s="139">
        <v>0</v>
      </c>
      <c r="K215" s="100">
        <v>36</v>
      </c>
      <c r="L215" s="100">
        <v>7709</v>
      </c>
    </row>
    <row r="216" spans="1:256">
      <c r="A216" s="121"/>
      <c r="B216" s="135" t="s">
        <v>707</v>
      </c>
      <c r="C216" s="135" t="s">
        <v>778</v>
      </c>
      <c r="D216" s="136" t="s">
        <v>779</v>
      </c>
      <c r="E216" s="137" t="s">
        <v>710</v>
      </c>
      <c r="F216" s="137">
        <v>1062.5999999999999</v>
      </c>
      <c r="G216" s="137">
        <v>0</v>
      </c>
      <c r="H216" s="138">
        <v>44</v>
      </c>
      <c r="I216" s="139">
        <v>24.15</v>
      </c>
      <c r="J216" s="139">
        <v>0</v>
      </c>
      <c r="K216" s="100">
        <v>36</v>
      </c>
      <c r="L216" s="100">
        <v>7182</v>
      </c>
    </row>
    <row r="217" spans="1:256">
      <c r="A217" s="121"/>
      <c r="B217" s="135" t="s">
        <v>707</v>
      </c>
      <c r="C217" s="135" t="s">
        <v>780</v>
      </c>
      <c r="D217" s="136" t="s">
        <v>781</v>
      </c>
      <c r="E217" s="137" t="s">
        <v>710</v>
      </c>
      <c r="F217" s="137">
        <v>858</v>
      </c>
      <c r="G217" s="137">
        <v>0</v>
      </c>
      <c r="H217" s="138">
        <v>44</v>
      </c>
      <c r="I217" s="139">
        <v>19.5</v>
      </c>
      <c r="J217" s="139">
        <v>0</v>
      </c>
      <c r="K217" s="100">
        <v>36</v>
      </c>
      <c r="L217" s="100">
        <v>7157</v>
      </c>
    </row>
    <row r="218" spans="1:256">
      <c r="A218" s="101"/>
      <c r="B218" s="112"/>
      <c r="C218" s="128"/>
      <c r="D218" s="114"/>
      <c r="E218" s="112"/>
      <c r="F218" s="112"/>
      <c r="G218" s="112"/>
      <c r="H218" s="112"/>
      <c r="I218" s="110"/>
      <c r="J218" s="111"/>
      <c r="K218" s="99">
        <v>36</v>
      </c>
      <c r="IU218" s="99"/>
      <c r="IV218" s="99"/>
    </row>
    <row r="219" spans="1:256">
      <c r="A219" s="129" t="s">
        <v>897</v>
      </c>
      <c r="B219" s="130" t="s">
        <v>688</v>
      </c>
      <c r="C219" s="130" t="s">
        <v>619</v>
      </c>
      <c r="D219" s="131" t="s">
        <v>620</v>
      </c>
      <c r="E219" s="130" t="s">
        <v>20</v>
      </c>
      <c r="F219" s="132">
        <v>737.38</v>
      </c>
      <c r="G219" s="132">
        <v>618</v>
      </c>
      <c r="H219" s="133"/>
      <c r="I219" s="134">
        <v>737.38</v>
      </c>
      <c r="J219" s="134">
        <v>618</v>
      </c>
      <c r="K219" s="100">
        <v>37</v>
      </c>
      <c r="L219" s="100">
        <v>5</v>
      </c>
    </row>
    <row r="220" spans="1:256">
      <c r="A220" s="121"/>
      <c r="B220" s="135" t="s">
        <v>720</v>
      </c>
      <c r="C220" s="135" t="s">
        <v>898</v>
      </c>
      <c r="D220" s="136" t="s">
        <v>899</v>
      </c>
      <c r="E220" s="137" t="s">
        <v>20</v>
      </c>
      <c r="F220" s="137">
        <v>618</v>
      </c>
      <c r="G220" s="137">
        <v>618</v>
      </c>
      <c r="H220" s="138">
        <v>1</v>
      </c>
      <c r="I220" s="139">
        <v>618</v>
      </c>
      <c r="J220" s="139">
        <v>618</v>
      </c>
      <c r="K220" s="100">
        <v>37</v>
      </c>
      <c r="L220" s="100">
        <v>66</v>
      </c>
    </row>
    <row r="221" spans="1:256" ht="22.5">
      <c r="A221" s="121"/>
      <c r="B221" s="135" t="s">
        <v>703</v>
      </c>
      <c r="C221" s="135" t="s">
        <v>900</v>
      </c>
      <c r="D221" s="136" t="s">
        <v>901</v>
      </c>
      <c r="E221" s="137" t="s">
        <v>433</v>
      </c>
      <c r="F221" s="137">
        <v>3.16</v>
      </c>
      <c r="G221" s="137">
        <v>0</v>
      </c>
      <c r="H221" s="138">
        <v>4</v>
      </c>
      <c r="I221" s="139">
        <v>0.79</v>
      </c>
      <c r="J221" s="139">
        <v>0</v>
      </c>
      <c r="K221" s="100">
        <v>37</v>
      </c>
      <c r="L221" s="100">
        <v>8163</v>
      </c>
    </row>
    <row r="222" spans="1:256" ht="22.5">
      <c r="A222" s="121"/>
      <c r="B222" s="135" t="s">
        <v>703</v>
      </c>
      <c r="C222" s="135" t="s">
        <v>902</v>
      </c>
      <c r="D222" s="136" t="s">
        <v>903</v>
      </c>
      <c r="E222" s="137" t="s">
        <v>433</v>
      </c>
      <c r="F222" s="137">
        <v>2.3199999999999998</v>
      </c>
      <c r="G222" s="137">
        <v>0</v>
      </c>
      <c r="H222" s="138">
        <v>4</v>
      </c>
      <c r="I222" s="139">
        <v>0.57999999999999996</v>
      </c>
      <c r="J222" s="139">
        <v>0</v>
      </c>
      <c r="K222" s="100">
        <v>37</v>
      </c>
      <c r="L222" s="100">
        <v>10809</v>
      </c>
    </row>
    <row r="223" spans="1:256">
      <c r="A223" s="121"/>
      <c r="B223" s="135" t="s">
        <v>707</v>
      </c>
      <c r="C223" s="135" t="s">
        <v>780</v>
      </c>
      <c r="D223" s="136" t="s">
        <v>781</v>
      </c>
      <c r="E223" s="137" t="s">
        <v>710</v>
      </c>
      <c r="F223" s="137">
        <v>48.75</v>
      </c>
      <c r="G223" s="137">
        <v>0</v>
      </c>
      <c r="H223" s="138">
        <v>2.5</v>
      </c>
      <c r="I223" s="139">
        <v>19.5</v>
      </c>
      <c r="J223" s="139">
        <v>0</v>
      </c>
      <c r="K223" s="100">
        <v>37</v>
      </c>
      <c r="L223" s="100">
        <v>7157</v>
      </c>
    </row>
    <row r="224" spans="1:256">
      <c r="A224" s="121"/>
      <c r="B224" s="135" t="s">
        <v>707</v>
      </c>
      <c r="C224" s="135" t="s">
        <v>904</v>
      </c>
      <c r="D224" s="136" t="s">
        <v>905</v>
      </c>
      <c r="E224" s="137" t="s">
        <v>710</v>
      </c>
      <c r="F224" s="137">
        <v>65.150000000000006</v>
      </c>
      <c r="G224" s="137">
        <v>0</v>
      </c>
      <c r="H224" s="138">
        <v>2.5</v>
      </c>
      <c r="I224" s="139">
        <v>26.06</v>
      </c>
      <c r="J224" s="139">
        <v>0</v>
      </c>
      <c r="K224" s="100">
        <v>37</v>
      </c>
      <c r="L224" s="100">
        <v>7399</v>
      </c>
    </row>
    <row r="225" spans="1:256">
      <c r="A225" s="101"/>
      <c r="B225" s="112"/>
      <c r="C225" s="128"/>
      <c r="D225" s="114"/>
      <c r="E225" s="112"/>
      <c r="F225" s="112"/>
      <c r="G225" s="112"/>
      <c r="H225" s="112"/>
      <c r="I225" s="110"/>
      <c r="J225" s="111"/>
      <c r="K225" s="99">
        <v>37</v>
      </c>
      <c r="IU225" s="99"/>
      <c r="IV225" s="99"/>
    </row>
    <row r="226" spans="1:256">
      <c r="A226" s="129" t="s">
        <v>906</v>
      </c>
      <c r="B226" s="130" t="s">
        <v>688</v>
      </c>
      <c r="C226" s="130" t="s">
        <v>452</v>
      </c>
      <c r="D226" s="131" t="s">
        <v>453</v>
      </c>
      <c r="E226" s="130" t="s">
        <v>49</v>
      </c>
      <c r="F226" s="132">
        <v>13.04</v>
      </c>
      <c r="G226" s="132">
        <v>0</v>
      </c>
      <c r="H226" s="133"/>
      <c r="I226" s="134">
        <v>13.04</v>
      </c>
      <c r="J226" s="134">
        <v>0</v>
      </c>
      <c r="K226" s="100">
        <v>38</v>
      </c>
      <c r="L226" s="100">
        <v>7</v>
      </c>
    </row>
    <row r="227" spans="1:256" ht="22.5">
      <c r="A227" s="121"/>
      <c r="B227" s="135" t="s">
        <v>703</v>
      </c>
      <c r="C227" s="135" t="s">
        <v>837</v>
      </c>
      <c r="D227" s="136" t="s">
        <v>838</v>
      </c>
      <c r="E227" s="137" t="s">
        <v>741</v>
      </c>
      <c r="F227" s="137">
        <v>10.83</v>
      </c>
      <c r="G227" s="137">
        <v>0</v>
      </c>
      <c r="H227" s="138">
        <v>4.1500000000000004</v>
      </c>
      <c r="I227" s="139">
        <v>2.61</v>
      </c>
      <c r="J227" s="139">
        <v>0</v>
      </c>
      <c r="K227" s="100">
        <v>38</v>
      </c>
      <c r="L227" s="100">
        <v>9850</v>
      </c>
    </row>
    <row r="228" spans="1:256">
      <c r="A228" s="121"/>
      <c r="B228" s="135" t="s">
        <v>707</v>
      </c>
      <c r="C228" s="135" t="s">
        <v>714</v>
      </c>
      <c r="D228" s="136" t="s">
        <v>715</v>
      </c>
      <c r="E228" s="137" t="s">
        <v>710</v>
      </c>
      <c r="F228" s="137">
        <v>0.84</v>
      </c>
      <c r="G228" s="137">
        <v>0</v>
      </c>
      <c r="H228" s="138">
        <v>4.7699999999999999E-2</v>
      </c>
      <c r="I228" s="139">
        <v>17.77</v>
      </c>
      <c r="J228" s="139">
        <v>0</v>
      </c>
      <c r="K228" s="100">
        <v>38</v>
      </c>
      <c r="L228" s="100">
        <v>7219</v>
      </c>
    </row>
    <row r="229" spans="1:256">
      <c r="A229" s="121"/>
      <c r="B229" s="135" t="s">
        <v>707</v>
      </c>
      <c r="C229" s="135" t="s">
        <v>708</v>
      </c>
      <c r="D229" s="136" t="s">
        <v>709</v>
      </c>
      <c r="E229" s="137" t="s">
        <v>710</v>
      </c>
      <c r="F229" s="137">
        <v>1.33</v>
      </c>
      <c r="G229" s="137">
        <v>0</v>
      </c>
      <c r="H229" s="138">
        <v>5.6000000000000001E-2</v>
      </c>
      <c r="I229" s="139">
        <v>23.84</v>
      </c>
      <c r="J229" s="139">
        <v>0</v>
      </c>
      <c r="K229" s="100">
        <v>38</v>
      </c>
      <c r="L229" s="100">
        <v>7225</v>
      </c>
    </row>
    <row r="230" spans="1:256" ht="22.5">
      <c r="A230" s="121"/>
      <c r="B230" s="135" t="s">
        <v>707</v>
      </c>
      <c r="C230" s="135" t="s">
        <v>841</v>
      </c>
      <c r="D230" s="136" t="s">
        <v>842</v>
      </c>
      <c r="E230" s="137" t="s">
        <v>843</v>
      </c>
      <c r="F230" s="137">
        <v>0.02</v>
      </c>
      <c r="G230" s="137">
        <v>0</v>
      </c>
      <c r="H230" s="138">
        <v>8.9999999999999998E-4</v>
      </c>
      <c r="I230" s="139">
        <v>22.83</v>
      </c>
      <c r="J230" s="139">
        <v>0</v>
      </c>
      <c r="K230" s="100">
        <v>38</v>
      </c>
      <c r="L230" s="100">
        <v>542</v>
      </c>
    </row>
    <row r="231" spans="1:256" ht="22.5">
      <c r="A231" s="121"/>
      <c r="B231" s="135" t="s">
        <v>707</v>
      </c>
      <c r="C231" s="135" t="s">
        <v>844</v>
      </c>
      <c r="D231" s="136" t="s">
        <v>845</v>
      </c>
      <c r="E231" s="137" t="s">
        <v>846</v>
      </c>
      <c r="F231" s="137">
        <v>0.02</v>
      </c>
      <c r="G231" s="137">
        <v>0</v>
      </c>
      <c r="H231" s="138">
        <v>1.1999999999999999E-3</v>
      </c>
      <c r="I231" s="139">
        <v>21.96</v>
      </c>
      <c r="J231" s="139">
        <v>0</v>
      </c>
      <c r="K231" s="100">
        <v>38</v>
      </c>
      <c r="L231" s="100">
        <v>687</v>
      </c>
    </row>
    <row r="232" spans="1:256">
      <c r="A232" s="121"/>
      <c r="B232" s="135"/>
      <c r="C232" s="135"/>
      <c r="D232" s="136"/>
      <c r="E232" s="137"/>
      <c r="F232" s="137">
        <v>0</v>
      </c>
      <c r="G232" s="137">
        <v>0</v>
      </c>
      <c r="H232" s="138"/>
      <c r="I232" s="139">
        <v>0</v>
      </c>
      <c r="J232" s="139">
        <v>0</v>
      </c>
      <c r="K232" s="100">
        <v>38</v>
      </c>
      <c r="L232" s="100" t="e">
        <f>NA()</f>
        <v>#N/A</v>
      </c>
    </row>
    <row r="233" spans="1:256">
      <c r="A233" s="121"/>
      <c r="B233" s="135"/>
      <c r="C233" s="135"/>
      <c r="D233" s="136"/>
      <c r="E233" s="137"/>
      <c r="F233" s="137">
        <v>0</v>
      </c>
      <c r="G233" s="137">
        <v>0</v>
      </c>
      <c r="H233" s="138"/>
      <c r="I233" s="139">
        <v>0</v>
      </c>
      <c r="J233" s="139">
        <v>0</v>
      </c>
      <c r="K233" s="100">
        <v>38</v>
      </c>
      <c r="L233" s="100" t="e">
        <f>NA()</f>
        <v>#N/A</v>
      </c>
    </row>
    <row r="234" spans="1:256">
      <c r="A234" s="101"/>
      <c r="B234" s="112"/>
      <c r="C234" s="128"/>
      <c r="D234" s="114"/>
      <c r="E234" s="112"/>
      <c r="F234" s="112"/>
      <c r="G234" s="112"/>
      <c r="H234" s="112"/>
      <c r="I234" s="110"/>
      <c r="J234" s="111"/>
      <c r="K234" s="99">
        <v>38</v>
      </c>
      <c r="IU234" s="99"/>
      <c r="IV234" s="99"/>
    </row>
    <row r="235" spans="1:256" ht="22.5">
      <c r="A235" s="129" t="s">
        <v>907</v>
      </c>
      <c r="B235" s="130" t="s">
        <v>688</v>
      </c>
      <c r="C235" s="130" t="s">
        <v>489</v>
      </c>
      <c r="D235" s="131" t="s">
        <v>490</v>
      </c>
      <c r="E235" s="130" t="s">
        <v>20</v>
      </c>
      <c r="F235" s="132">
        <v>1378.38</v>
      </c>
      <c r="G235" s="132">
        <v>1219.78</v>
      </c>
      <c r="H235" s="133"/>
      <c r="I235" s="134">
        <v>1378.38</v>
      </c>
      <c r="J235" s="134">
        <v>1219.78</v>
      </c>
      <c r="K235" s="100">
        <v>39</v>
      </c>
      <c r="L235" s="100">
        <v>5</v>
      </c>
    </row>
    <row r="236" spans="1:256">
      <c r="A236" s="121"/>
      <c r="B236" s="135" t="s">
        <v>798</v>
      </c>
      <c r="C236" s="135" t="s">
        <v>857</v>
      </c>
      <c r="D236" s="136" t="s">
        <v>858</v>
      </c>
      <c r="E236" s="137" t="s">
        <v>147</v>
      </c>
      <c r="F236" s="137">
        <v>32</v>
      </c>
      <c r="G236" s="137">
        <v>0</v>
      </c>
      <c r="H236" s="138">
        <v>5</v>
      </c>
      <c r="I236" s="139">
        <v>6.4</v>
      </c>
      <c r="J236" s="139">
        <v>0</v>
      </c>
      <c r="K236" s="100">
        <v>39</v>
      </c>
      <c r="L236" s="100">
        <v>15420</v>
      </c>
    </row>
    <row r="237" spans="1:256">
      <c r="A237" s="121"/>
      <c r="B237" s="135" t="s">
        <v>720</v>
      </c>
      <c r="C237" s="135" t="s">
        <v>859</v>
      </c>
      <c r="D237" s="136" t="s">
        <v>860</v>
      </c>
      <c r="E237" s="137" t="s">
        <v>49</v>
      </c>
      <c r="F237" s="137">
        <v>1219.78</v>
      </c>
      <c r="G237" s="137">
        <v>1219.78</v>
      </c>
      <c r="H237" s="138">
        <v>1.95</v>
      </c>
      <c r="I237" s="139">
        <v>625.53</v>
      </c>
      <c r="J237" s="139">
        <v>625.53</v>
      </c>
      <c r="K237" s="100">
        <v>39</v>
      </c>
      <c r="L237" s="100">
        <v>64</v>
      </c>
    </row>
    <row r="238" spans="1:256">
      <c r="A238" s="121"/>
      <c r="B238" s="135" t="s">
        <v>707</v>
      </c>
      <c r="C238" s="135" t="s">
        <v>733</v>
      </c>
      <c r="D238" s="136" t="s">
        <v>734</v>
      </c>
      <c r="E238" s="137" t="s">
        <v>710</v>
      </c>
      <c r="F238" s="137">
        <v>73.290000000000006</v>
      </c>
      <c r="G238" s="137">
        <v>0</v>
      </c>
      <c r="H238" s="138">
        <v>3</v>
      </c>
      <c r="I238" s="139">
        <v>24.43</v>
      </c>
      <c r="J238" s="139">
        <v>0</v>
      </c>
      <c r="K238" s="100">
        <v>39</v>
      </c>
      <c r="L238" s="100">
        <v>7212</v>
      </c>
    </row>
    <row r="239" spans="1:256">
      <c r="A239" s="121"/>
      <c r="B239" s="135" t="s">
        <v>707</v>
      </c>
      <c r="C239" s="135" t="s">
        <v>714</v>
      </c>
      <c r="D239" s="136" t="s">
        <v>715</v>
      </c>
      <c r="E239" s="137" t="s">
        <v>710</v>
      </c>
      <c r="F239" s="137">
        <v>53.31</v>
      </c>
      <c r="G239" s="137">
        <v>0</v>
      </c>
      <c r="H239" s="138">
        <v>3</v>
      </c>
      <c r="I239" s="139">
        <v>17.77</v>
      </c>
      <c r="J239" s="139">
        <v>0</v>
      </c>
      <c r="K239" s="100">
        <v>39</v>
      </c>
      <c r="L239" s="100">
        <v>7219</v>
      </c>
    </row>
    <row r="240" spans="1:256">
      <c r="A240" s="121"/>
      <c r="B240" s="135"/>
      <c r="C240" s="135"/>
      <c r="D240" s="136"/>
      <c r="E240" s="137"/>
      <c r="F240" s="137">
        <v>0</v>
      </c>
      <c r="G240" s="137">
        <v>0</v>
      </c>
      <c r="H240" s="138"/>
      <c r="I240" s="139">
        <v>0</v>
      </c>
      <c r="J240" s="139">
        <v>0</v>
      </c>
      <c r="K240" s="100">
        <v>39</v>
      </c>
      <c r="L240" s="100" t="e">
        <f>NA()</f>
        <v>#N/A</v>
      </c>
    </row>
    <row r="241" spans="1:256">
      <c r="A241" s="101"/>
      <c r="B241" s="112"/>
      <c r="C241" s="128"/>
      <c r="D241" s="114"/>
      <c r="E241" s="112"/>
      <c r="F241" s="112"/>
      <c r="G241" s="112"/>
      <c r="H241" s="112"/>
      <c r="I241" s="110"/>
      <c r="J241" s="111"/>
      <c r="K241" s="99">
        <v>39</v>
      </c>
      <c r="IU241" s="99"/>
      <c r="IV241" s="99"/>
    </row>
    <row r="242" spans="1:256" ht="33.75">
      <c r="A242" s="129" t="s">
        <v>908</v>
      </c>
      <c r="B242" s="130" t="s">
        <v>688</v>
      </c>
      <c r="C242" s="130" t="s">
        <v>625</v>
      </c>
      <c r="D242" s="131" t="s">
        <v>626</v>
      </c>
      <c r="E242" s="130" t="s">
        <v>20</v>
      </c>
      <c r="F242" s="132">
        <v>1218.54</v>
      </c>
      <c r="G242" s="132">
        <v>0</v>
      </c>
      <c r="H242" s="133"/>
      <c r="I242" s="134">
        <v>1218.54</v>
      </c>
      <c r="J242" s="134">
        <v>0</v>
      </c>
      <c r="K242" s="100">
        <v>40</v>
      </c>
      <c r="L242" s="100">
        <v>8</v>
      </c>
    </row>
    <row r="243" spans="1:256">
      <c r="A243" s="121"/>
      <c r="B243" s="135" t="s">
        <v>798</v>
      </c>
      <c r="C243" s="135" t="s">
        <v>909</v>
      </c>
      <c r="D243" s="136" t="s">
        <v>910</v>
      </c>
      <c r="E243" s="137" t="s">
        <v>49</v>
      </c>
      <c r="F243" s="137">
        <v>241.74</v>
      </c>
      <c r="G243" s="137">
        <v>0</v>
      </c>
      <c r="H243" s="138">
        <v>6</v>
      </c>
      <c r="I243" s="139">
        <v>40.29</v>
      </c>
      <c r="J243" s="139">
        <v>0</v>
      </c>
      <c r="K243" s="100">
        <v>40</v>
      </c>
      <c r="L243" s="100">
        <v>16641</v>
      </c>
    </row>
    <row r="244" spans="1:256">
      <c r="A244" s="121"/>
      <c r="B244" s="135" t="s">
        <v>798</v>
      </c>
      <c r="C244" s="135" t="s">
        <v>857</v>
      </c>
      <c r="D244" s="136" t="s">
        <v>858</v>
      </c>
      <c r="E244" s="137" t="s">
        <v>147</v>
      </c>
      <c r="F244" s="137">
        <v>162.36000000000001</v>
      </c>
      <c r="G244" s="137">
        <v>0</v>
      </c>
      <c r="H244" s="138">
        <v>25.37</v>
      </c>
      <c r="I244" s="139">
        <v>6.4</v>
      </c>
      <c r="J244" s="139">
        <v>0</v>
      </c>
      <c r="K244" s="100">
        <v>40</v>
      </c>
      <c r="L244" s="100">
        <v>15420</v>
      </c>
    </row>
    <row r="245" spans="1:256">
      <c r="A245" s="121"/>
      <c r="B245" s="135" t="s">
        <v>703</v>
      </c>
      <c r="C245" s="135" t="s">
        <v>911</v>
      </c>
      <c r="D245" s="136" t="s">
        <v>912</v>
      </c>
      <c r="E245" s="137" t="s">
        <v>787</v>
      </c>
      <c r="F245" s="137">
        <v>22.04</v>
      </c>
      <c r="G245" s="137">
        <v>0</v>
      </c>
      <c r="H245" s="138">
        <v>0.2</v>
      </c>
      <c r="I245" s="139">
        <v>110.23</v>
      </c>
      <c r="J245" s="139">
        <v>0</v>
      </c>
      <c r="K245" s="100">
        <v>40</v>
      </c>
      <c r="L245" s="100">
        <v>11324</v>
      </c>
    </row>
    <row r="246" spans="1:256" ht="22.5">
      <c r="A246" s="121"/>
      <c r="B246" s="135" t="s">
        <v>703</v>
      </c>
      <c r="C246" s="135" t="s">
        <v>913</v>
      </c>
      <c r="D246" s="136" t="s">
        <v>914</v>
      </c>
      <c r="E246" s="137" t="s">
        <v>433</v>
      </c>
      <c r="F246" s="137">
        <v>11.68</v>
      </c>
      <c r="G246" s="137">
        <v>0</v>
      </c>
      <c r="H246" s="138">
        <v>8</v>
      </c>
      <c r="I246" s="139">
        <v>1.46</v>
      </c>
      <c r="J246" s="139">
        <v>0</v>
      </c>
      <c r="K246" s="100">
        <v>40</v>
      </c>
      <c r="L246" s="100">
        <v>10868</v>
      </c>
    </row>
    <row r="247" spans="1:256" ht="22.5">
      <c r="A247" s="121"/>
      <c r="B247" s="135" t="s">
        <v>703</v>
      </c>
      <c r="C247" s="135" t="s">
        <v>814</v>
      </c>
      <c r="D247" s="136" t="s">
        <v>815</v>
      </c>
      <c r="E247" s="137" t="s">
        <v>433</v>
      </c>
      <c r="F247" s="137">
        <v>9.68</v>
      </c>
      <c r="G247" s="137">
        <v>0</v>
      </c>
      <c r="H247" s="138">
        <v>8</v>
      </c>
      <c r="I247" s="139">
        <v>1.21</v>
      </c>
      <c r="J247" s="139">
        <v>0</v>
      </c>
      <c r="K247" s="100">
        <v>40</v>
      </c>
      <c r="L247" s="100">
        <v>8164</v>
      </c>
    </row>
    <row r="248" spans="1:256" ht="33.75">
      <c r="A248" s="121"/>
      <c r="B248" s="135" t="s">
        <v>707</v>
      </c>
      <c r="C248" s="135" t="s">
        <v>915</v>
      </c>
      <c r="D248" s="136" t="s">
        <v>916</v>
      </c>
      <c r="E248" s="137" t="s">
        <v>49</v>
      </c>
      <c r="F248" s="137">
        <v>71.040000000000006</v>
      </c>
      <c r="G248" s="137">
        <v>0</v>
      </c>
      <c r="H248" s="138">
        <v>6</v>
      </c>
      <c r="I248" s="139">
        <v>11.84</v>
      </c>
      <c r="J248" s="139">
        <v>0</v>
      </c>
      <c r="K248" s="100">
        <v>40</v>
      </c>
      <c r="L248" s="100">
        <v>6134</v>
      </c>
    </row>
    <row r="249" spans="1:256">
      <c r="A249" s="121"/>
      <c r="B249" s="135" t="s">
        <v>707</v>
      </c>
      <c r="C249" s="135" t="s">
        <v>796</v>
      </c>
      <c r="D249" s="136" t="s">
        <v>797</v>
      </c>
      <c r="E249" s="137" t="s">
        <v>710</v>
      </c>
      <c r="F249" s="137">
        <v>388</v>
      </c>
      <c r="G249" s="137">
        <v>0</v>
      </c>
      <c r="H249" s="138">
        <v>16</v>
      </c>
      <c r="I249" s="139">
        <v>24.25</v>
      </c>
      <c r="J249" s="139">
        <v>0</v>
      </c>
      <c r="K249" s="100">
        <v>40</v>
      </c>
      <c r="L249" s="100">
        <v>7218</v>
      </c>
    </row>
    <row r="250" spans="1:256">
      <c r="A250" s="121"/>
      <c r="B250" s="135" t="s">
        <v>707</v>
      </c>
      <c r="C250" s="135" t="s">
        <v>780</v>
      </c>
      <c r="D250" s="136" t="s">
        <v>781</v>
      </c>
      <c r="E250" s="137" t="s">
        <v>710</v>
      </c>
      <c r="F250" s="137">
        <v>312</v>
      </c>
      <c r="G250" s="137">
        <v>0</v>
      </c>
      <c r="H250" s="138">
        <v>16</v>
      </c>
      <c r="I250" s="139">
        <v>19.5</v>
      </c>
      <c r="J250" s="139">
        <v>0</v>
      </c>
      <c r="K250" s="100">
        <v>40</v>
      </c>
      <c r="L250" s="100">
        <v>7157</v>
      </c>
    </row>
    <row r="251" spans="1:256">
      <c r="A251" s="101"/>
      <c r="B251" s="112"/>
      <c r="C251" s="128"/>
      <c r="D251" s="114"/>
      <c r="E251" s="112"/>
      <c r="F251" s="112"/>
      <c r="G251" s="112"/>
      <c r="H251" s="112"/>
      <c r="I251" s="110"/>
      <c r="J251" s="111"/>
      <c r="K251" s="99">
        <v>40</v>
      </c>
      <c r="IU251" s="99"/>
      <c r="IV251" s="99"/>
    </row>
    <row r="252" spans="1:256" ht="45">
      <c r="A252" s="129" t="s">
        <v>917</v>
      </c>
      <c r="B252" s="130" t="s">
        <v>688</v>
      </c>
      <c r="C252" s="130" t="s">
        <v>622</v>
      </c>
      <c r="D252" s="131" t="s">
        <v>623</v>
      </c>
      <c r="E252" s="130" t="s">
        <v>20</v>
      </c>
      <c r="F252" s="132">
        <v>13323.76</v>
      </c>
      <c r="G252" s="132">
        <v>10800</v>
      </c>
      <c r="H252" s="133"/>
      <c r="I252" s="134">
        <v>13323.76</v>
      </c>
      <c r="J252" s="134">
        <v>10800</v>
      </c>
      <c r="K252" s="100">
        <v>41</v>
      </c>
      <c r="L252" s="100">
        <v>10</v>
      </c>
    </row>
    <row r="253" spans="1:256" ht="22.5">
      <c r="A253" s="121"/>
      <c r="B253" s="135" t="s">
        <v>698</v>
      </c>
      <c r="C253" s="135" t="s">
        <v>918</v>
      </c>
      <c r="D253" s="136" t="s">
        <v>919</v>
      </c>
      <c r="E253" s="137" t="s">
        <v>42</v>
      </c>
      <c r="F253" s="137">
        <v>458.3</v>
      </c>
      <c r="G253" s="137">
        <v>0</v>
      </c>
      <c r="H253" s="138">
        <v>10</v>
      </c>
      <c r="I253" s="139">
        <v>45.83</v>
      </c>
      <c r="J253" s="139">
        <v>0</v>
      </c>
      <c r="K253" s="100">
        <v>41</v>
      </c>
      <c r="L253" s="100">
        <v>17443</v>
      </c>
    </row>
    <row r="254" spans="1:256">
      <c r="A254" s="121"/>
      <c r="B254" s="135" t="s">
        <v>754</v>
      </c>
      <c r="C254" s="135" t="s">
        <v>920</v>
      </c>
      <c r="D254" s="136" t="s">
        <v>921</v>
      </c>
      <c r="E254" s="137" t="s">
        <v>49</v>
      </c>
      <c r="F254" s="137">
        <v>509.4</v>
      </c>
      <c r="G254" s="137">
        <v>0</v>
      </c>
      <c r="H254" s="138">
        <v>20</v>
      </c>
      <c r="I254" s="139">
        <v>25.47</v>
      </c>
      <c r="J254" s="139">
        <v>0</v>
      </c>
      <c r="K254" s="100">
        <v>41</v>
      </c>
      <c r="L254" s="100">
        <v>14017</v>
      </c>
    </row>
    <row r="255" spans="1:256" ht="33.75">
      <c r="A255" s="121"/>
      <c r="B255" s="135" t="s">
        <v>707</v>
      </c>
      <c r="C255" s="135" t="s">
        <v>922</v>
      </c>
      <c r="D255" s="136" t="s">
        <v>923</v>
      </c>
      <c r="E255" s="137" t="s">
        <v>49</v>
      </c>
      <c r="F255" s="137">
        <v>122.4</v>
      </c>
      <c r="G255" s="137">
        <v>0</v>
      </c>
      <c r="H255" s="138">
        <v>20</v>
      </c>
      <c r="I255" s="139">
        <v>6.12</v>
      </c>
      <c r="J255" s="139">
        <v>0</v>
      </c>
      <c r="K255" s="100">
        <v>41</v>
      </c>
      <c r="L255" s="100">
        <v>6343</v>
      </c>
    </row>
    <row r="256" spans="1:256" ht="22.5">
      <c r="A256" s="121"/>
      <c r="B256" s="135" t="s">
        <v>707</v>
      </c>
      <c r="C256" s="135" t="s">
        <v>924</v>
      </c>
      <c r="D256" s="136" t="s">
        <v>168</v>
      </c>
      <c r="E256" s="137" t="s">
        <v>59</v>
      </c>
      <c r="F256" s="137">
        <v>232.64</v>
      </c>
      <c r="G256" s="137">
        <v>0</v>
      </c>
      <c r="H256" s="138">
        <v>0.24</v>
      </c>
      <c r="I256" s="139">
        <v>969.34</v>
      </c>
      <c r="J256" s="139">
        <v>0</v>
      </c>
      <c r="K256" s="100">
        <v>41</v>
      </c>
      <c r="L256" s="100">
        <v>2638</v>
      </c>
    </row>
    <row r="257" spans="1:256" ht="22.5">
      <c r="A257" s="121"/>
      <c r="B257" s="135" t="s">
        <v>707</v>
      </c>
      <c r="C257" s="135" t="s">
        <v>925</v>
      </c>
      <c r="D257" s="136" t="s">
        <v>161</v>
      </c>
      <c r="E257" s="137" t="s">
        <v>49</v>
      </c>
      <c r="F257" s="137">
        <v>825.45</v>
      </c>
      <c r="G257" s="137">
        <v>0</v>
      </c>
      <c r="H257" s="138">
        <v>5.34</v>
      </c>
      <c r="I257" s="139">
        <v>154.58000000000001</v>
      </c>
      <c r="J257" s="139">
        <v>0</v>
      </c>
      <c r="K257" s="100">
        <v>41</v>
      </c>
      <c r="L257" s="100">
        <v>2268</v>
      </c>
    </row>
    <row r="258" spans="1:256" ht="22.5">
      <c r="A258" s="121"/>
      <c r="B258" s="135" t="s">
        <v>707</v>
      </c>
      <c r="C258" s="135" t="s">
        <v>926</v>
      </c>
      <c r="D258" s="136" t="s">
        <v>927</v>
      </c>
      <c r="E258" s="137" t="s">
        <v>147</v>
      </c>
      <c r="F258" s="137">
        <v>252.78</v>
      </c>
      <c r="G258" s="137">
        <v>0</v>
      </c>
      <c r="H258" s="138">
        <v>22</v>
      </c>
      <c r="I258" s="139">
        <v>11.49</v>
      </c>
      <c r="J258" s="139">
        <v>0</v>
      </c>
      <c r="K258" s="100">
        <v>41</v>
      </c>
      <c r="L258" s="100">
        <v>2496</v>
      </c>
    </row>
    <row r="259" spans="1:256" ht="22.5">
      <c r="A259" s="121"/>
      <c r="B259" s="135" t="s">
        <v>707</v>
      </c>
      <c r="C259" s="135" t="s">
        <v>928</v>
      </c>
      <c r="D259" s="136" t="s">
        <v>929</v>
      </c>
      <c r="E259" s="137" t="s">
        <v>147</v>
      </c>
      <c r="F259" s="137">
        <v>122.79</v>
      </c>
      <c r="G259" s="137">
        <v>0</v>
      </c>
      <c r="H259" s="138">
        <v>8.7899999999999991</v>
      </c>
      <c r="I259" s="139">
        <v>13.97</v>
      </c>
      <c r="J259" s="139">
        <v>0</v>
      </c>
      <c r="K259" s="100">
        <v>41</v>
      </c>
      <c r="L259" s="100">
        <v>2493</v>
      </c>
    </row>
    <row r="260" spans="1:256" ht="22.5">
      <c r="A260" s="121"/>
      <c r="B260" s="135" t="s">
        <v>720</v>
      </c>
      <c r="C260" s="135" t="s">
        <v>930</v>
      </c>
      <c r="D260" s="136" t="s">
        <v>931</v>
      </c>
      <c r="E260" s="137" t="s">
        <v>20</v>
      </c>
      <c r="F260" s="137">
        <v>10800</v>
      </c>
      <c r="G260" s="137">
        <v>10800</v>
      </c>
      <c r="H260" s="138">
        <v>1</v>
      </c>
      <c r="I260" s="139">
        <v>10800</v>
      </c>
      <c r="J260" s="139">
        <v>10800</v>
      </c>
      <c r="K260" s="100">
        <v>41</v>
      </c>
      <c r="L260" s="100">
        <v>67</v>
      </c>
    </row>
    <row r="261" spans="1:256">
      <c r="A261" s="121"/>
      <c r="B261" s="135"/>
      <c r="C261" s="135"/>
      <c r="D261" s="136"/>
      <c r="E261" s="137"/>
      <c r="F261" s="137">
        <v>0</v>
      </c>
      <c r="G261" s="137">
        <v>0</v>
      </c>
      <c r="H261" s="138"/>
      <c r="I261" s="139">
        <v>0</v>
      </c>
      <c r="J261" s="139">
        <v>0</v>
      </c>
      <c r="K261" s="100">
        <v>41</v>
      </c>
      <c r="L261" s="100" t="e">
        <f>NA()</f>
        <v>#N/A</v>
      </c>
    </row>
    <row r="262" spans="1:256">
      <c r="A262" s="121"/>
      <c r="B262" s="135"/>
      <c r="C262" s="135"/>
      <c r="D262" s="136"/>
      <c r="E262" s="137"/>
      <c r="F262" s="137">
        <v>0</v>
      </c>
      <c r="G262" s="137">
        <v>0</v>
      </c>
      <c r="H262" s="138"/>
      <c r="I262" s="139">
        <v>0</v>
      </c>
      <c r="J262" s="139">
        <v>0</v>
      </c>
      <c r="K262" s="100">
        <v>41</v>
      </c>
      <c r="L262" s="100" t="e">
        <f>NA()</f>
        <v>#N/A</v>
      </c>
    </row>
    <row r="263" spans="1:256">
      <c r="A263" s="101"/>
      <c r="B263" s="112"/>
      <c r="C263" s="128"/>
      <c r="D263" s="114"/>
      <c r="E263" s="112"/>
      <c r="F263" s="112"/>
      <c r="G263" s="112"/>
      <c r="H263" s="112"/>
      <c r="I263" s="110"/>
      <c r="J263" s="111"/>
      <c r="K263" s="99">
        <v>41</v>
      </c>
      <c r="IU263" s="99"/>
      <c r="IV263" s="99"/>
    </row>
    <row r="264" spans="1:256" ht="33.75">
      <c r="A264" s="129" t="s">
        <v>932</v>
      </c>
      <c r="B264" s="130" t="s">
        <v>688</v>
      </c>
      <c r="C264" s="130" t="s">
        <v>685</v>
      </c>
      <c r="D264" s="131" t="s">
        <v>209</v>
      </c>
      <c r="E264" s="130" t="s">
        <v>49</v>
      </c>
      <c r="F264" s="132">
        <v>221.74</v>
      </c>
      <c r="G264" s="132">
        <v>0</v>
      </c>
      <c r="H264" s="133"/>
      <c r="I264" s="134">
        <v>221.74</v>
      </c>
      <c r="J264" s="134">
        <v>0</v>
      </c>
      <c r="K264" s="100">
        <v>43</v>
      </c>
      <c r="L264" s="100">
        <v>6</v>
      </c>
    </row>
    <row r="265" spans="1:256" ht="22.5">
      <c r="A265" s="121"/>
      <c r="B265" s="135" t="s">
        <v>707</v>
      </c>
      <c r="C265" s="135" t="s">
        <v>933</v>
      </c>
      <c r="D265" s="136" t="s">
        <v>934</v>
      </c>
      <c r="E265" s="137" t="s">
        <v>59</v>
      </c>
      <c r="F265" s="137">
        <v>103.01</v>
      </c>
      <c r="G265" s="137">
        <v>0</v>
      </c>
      <c r="H265" s="138">
        <v>0.15</v>
      </c>
      <c r="I265" s="139">
        <v>686.77</v>
      </c>
      <c r="J265" s="139">
        <v>0</v>
      </c>
      <c r="K265" s="100">
        <v>43</v>
      </c>
      <c r="L265" s="100">
        <v>2251</v>
      </c>
    </row>
    <row r="266" spans="1:256" ht="22.5">
      <c r="A266" s="121"/>
      <c r="B266" s="135" t="s">
        <v>707</v>
      </c>
      <c r="C266" s="135" t="s">
        <v>935</v>
      </c>
      <c r="D266" s="136" t="s">
        <v>936</v>
      </c>
      <c r="E266" s="137" t="s">
        <v>147</v>
      </c>
      <c r="F266" s="137">
        <v>67.599999999999994</v>
      </c>
      <c r="G266" s="137">
        <v>0</v>
      </c>
      <c r="H266" s="138">
        <v>4.4800000000000004</v>
      </c>
      <c r="I266" s="139">
        <v>15.09</v>
      </c>
      <c r="J266" s="139">
        <v>0</v>
      </c>
      <c r="K266" s="100">
        <v>43</v>
      </c>
      <c r="L266" s="100">
        <v>2250</v>
      </c>
    </row>
    <row r="267" spans="1:256" ht="22.5">
      <c r="A267" s="121"/>
      <c r="B267" s="135" t="s">
        <v>707</v>
      </c>
      <c r="C267" s="135" t="s">
        <v>937</v>
      </c>
      <c r="D267" s="136" t="s">
        <v>938</v>
      </c>
      <c r="E267" s="137" t="s">
        <v>49</v>
      </c>
      <c r="F267" s="137">
        <v>2.61</v>
      </c>
      <c r="G267" s="137">
        <v>0</v>
      </c>
      <c r="H267" s="138">
        <v>1</v>
      </c>
      <c r="I267" s="139">
        <v>2.61</v>
      </c>
      <c r="J267" s="139">
        <v>0</v>
      </c>
      <c r="K267" s="100">
        <v>43</v>
      </c>
      <c r="L267" s="100">
        <v>2244</v>
      </c>
    </row>
    <row r="268" spans="1:256" ht="22.5">
      <c r="A268" s="121"/>
      <c r="B268" s="135" t="s">
        <v>707</v>
      </c>
      <c r="C268" s="135" t="s">
        <v>939</v>
      </c>
      <c r="D268" s="136" t="s">
        <v>940</v>
      </c>
      <c r="E268" s="137" t="s">
        <v>49</v>
      </c>
      <c r="F268" s="137">
        <v>0.57999999999999996</v>
      </c>
      <c r="G268" s="137">
        <v>0</v>
      </c>
      <c r="H268" s="138">
        <v>1</v>
      </c>
      <c r="I268" s="139">
        <v>0.57999999999999996</v>
      </c>
      <c r="J268" s="139">
        <v>0</v>
      </c>
      <c r="K268" s="100">
        <v>43</v>
      </c>
      <c r="L268" s="100">
        <v>2242</v>
      </c>
    </row>
    <row r="269" spans="1:256" ht="22.5">
      <c r="A269" s="121"/>
      <c r="B269" s="135" t="s">
        <v>707</v>
      </c>
      <c r="C269" s="135" t="s">
        <v>941</v>
      </c>
      <c r="D269" s="136" t="s">
        <v>942</v>
      </c>
      <c r="E269" s="137" t="s">
        <v>59</v>
      </c>
      <c r="F269" s="137">
        <v>15.42</v>
      </c>
      <c r="G269" s="137">
        <v>0</v>
      </c>
      <c r="H269" s="138">
        <v>0.1</v>
      </c>
      <c r="I269" s="139">
        <v>154.26</v>
      </c>
      <c r="J269" s="139">
        <v>0</v>
      </c>
      <c r="K269" s="100">
        <v>43</v>
      </c>
      <c r="L269" s="100">
        <v>2258</v>
      </c>
    </row>
    <row r="270" spans="1:256" ht="22.5">
      <c r="A270" s="121"/>
      <c r="B270" s="135" t="s">
        <v>707</v>
      </c>
      <c r="C270" s="135" t="s">
        <v>943</v>
      </c>
      <c r="D270" s="136" t="s">
        <v>944</v>
      </c>
      <c r="E270" s="137" t="s">
        <v>49</v>
      </c>
      <c r="F270" s="137">
        <v>32.520000000000003</v>
      </c>
      <c r="G270" s="137">
        <v>0</v>
      </c>
      <c r="H270" s="138">
        <v>1</v>
      </c>
      <c r="I270" s="139">
        <v>32.520000000000003</v>
      </c>
      <c r="J270" s="139">
        <v>0</v>
      </c>
      <c r="K270" s="100">
        <v>43</v>
      </c>
      <c r="L270" s="100">
        <v>2252</v>
      </c>
    </row>
    <row r="271" spans="1:256">
      <c r="A271" s="101"/>
      <c r="B271" s="112"/>
      <c r="C271" s="128"/>
      <c r="D271" s="114"/>
      <c r="E271" s="112"/>
      <c r="F271" s="112"/>
      <c r="G271" s="112"/>
      <c r="H271" s="112"/>
      <c r="I271" s="110"/>
      <c r="J271" s="111"/>
      <c r="K271" s="99">
        <v>43</v>
      </c>
      <c r="IU271" s="99"/>
      <c r="IV271" s="99"/>
    </row>
    <row r="272" spans="1:256">
      <c r="A272" s="129" t="s">
        <v>945</v>
      </c>
      <c r="B272" s="130" t="s">
        <v>688</v>
      </c>
      <c r="C272" s="130" t="s">
        <v>208</v>
      </c>
      <c r="D272" s="131" t="s">
        <v>637</v>
      </c>
      <c r="E272" s="130" t="s">
        <v>640</v>
      </c>
      <c r="F272" s="132">
        <v>13205.38</v>
      </c>
      <c r="G272" s="132">
        <v>0</v>
      </c>
      <c r="H272" s="133"/>
      <c r="I272" s="134">
        <v>13205.38</v>
      </c>
      <c r="J272" s="134">
        <v>0</v>
      </c>
      <c r="K272" s="100">
        <v>44</v>
      </c>
      <c r="L272" s="100">
        <v>5</v>
      </c>
    </row>
    <row r="273" spans="1:256">
      <c r="A273" s="121"/>
      <c r="B273" s="135" t="s">
        <v>707</v>
      </c>
      <c r="C273" s="135" t="s">
        <v>946</v>
      </c>
      <c r="D273" s="136" t="s">
        <v>947</v>
      </c>
      <c r="E273" s="137" t="s">
        <v>948</v>
      </c>
      <c r="F273" s="137">
        <v>8818.85</v>
      </c>
      <c r="G273" s="137">
        <v>0</v>
      </c>
      <c r="H273" s="138">
        <v>1</v>
      </c>
      <c r="I273" s="139">
        <v>8818.85</v>
      </c>
      <c r="J273" s="139">
        <v>0</v>
      </c>
      <c r="K273" s="100">
        <v>44</v>
      </c>
      <c r="L273" s="100">
        <v>7263</v>
      </c>
    </row>
    <row r="274" spans="1:256">
      <c r="A274" s="121"/>
      <c r="B274" s="135" t="s">
        <v>707</v>
      </c>
      <c r="C274" s="135" t="s">
        <v>949</v>
      </c>
      <c r="D274" s="136" t="s">
        <v>950</v>
      </c>
      <c r="E274" s="137" t="s">
        <v>948</v>
      </c>
      <c r="F274" s="137">
        <v>4386.53</v>
      </c>
      <c r="G274" s="137">
        <v>0</v>
      </c>
      <c r="H274" s="138">
        <v>0.25</v>
      </c>
      <c r="I274" s="139">
        <v>17546.12</v>
      </c>
      <c r="J274" s="139">
        <v>0</v>
      </c>
      <c r="K274" s="100">
        <v>44</v>
      </c>
      <c r="L274" s="100">
        <v>7410</v>
      </c>
    </row>
    <row r="275" spans="1:256">
      <c r="A275" s="121"/>
      <c r="B275" s="135"/>
      <c r="C275" s="135"/>
      <c r="D275" s="136"/>
      <c r="E275" s="137"/>
      <c r="F275" s="137">
        <v>0</v>
      </c>
      <c r="G275" s="137">
        <v>0</v>
      </c>
      <c r="H275" s="138"/>
      <c r="I275" s="139">
        <v>0</v>
      </c>
      <c r="J275" s="139">
        <v>0</v>
      </c>
      <c r="K275" s="100">
        <v>44</v>
      </c>
      <c r="L275" s="100" t="e">
        <f>NA()</f>
        <v>#N/A</v>
      </c>
    </row>
    <row r="276" spans="1:256">
      <c r="A276" s="121"/>
      <c r="B276" s="135"/>
      <c r="C276" s="135"/>
      <c r="D276" s="136"/>
      <c r="E276" s="137"/>
      <c r="F276" s="137">
        <v>0</v>
      </c>
      <c r="G276" s="137">
        <v>0</v>
      </c>
      <c r="H276" s="138"/>
      <c r="I276" s="139">
        <v>0</v>
      </c>
      <c r="J276" s="139">
        <v>0</v>
      </c>
      <c r="K276" s="100">
        <v>44</v>
      </c>
      <c r="L276" s="100" t="e">
        <f>NA()</f>
        <v>#N/A</v>
      </c>
    </row>
    <row r="277" spans="1:256">
      <c r="A277" s="121"/>
      <c r="B277" s="135"/>
      <c r="C277" s="135"/>
      <c r="D277" s="136"/>
      <c r="E277" s="137"/>
      <c r="F277" s="137">
        <v>0</v>
      </c>
      <c r="G277" s="137">
        <v>0</v>
      </c>
      <c r="H277" s="138"/>
      <c r="I277" s="139">
        <v>0</v>
      </c>
      <c r="J277" s="139">
        <v>0</v>
      </c>
      <c r="K277" s="100">
        <v>44</v>
      </c>
      <c r="L277" s="100" t="e">
        <f>NA()</f>
        <v>#N/A</v>
      </c>
    </row>
    <row r="278" spans="1:256">
      <c r="A278" s="101"/>
      <c r="B278" s="112"/>
      <c r="C278" s="128"/>
      <c r="D278" s="114"/>
      <c r="E278" s="112"/>
      <c r="F278" s="112"/>
      <c r="G278" s="112"/>
      <c r="H278" s="112"/>
      <c r="I278" s="110"/>
      <c r="J278" s="111"/>
      <c r="K278" s="99">
        <v>44</v>
      </c>
      <c r="IU278" s="99"/>
      <c r="IV278" s="99"/>
    </row>
    <row r="279" spans="1:256" ht="33.75">
      <c r="A279" s="129" t="s">
        <v>951</v>
      </c>
      <c r="B279" s="130" t="s">
        <v>688</v>
      </c>
      <c r="C279" s="130" t="s">
        <v>639</v>
      </c>
      <c r="D279" s="131" t="s">
        <v>493</v>
      </c>
      <c r="E279" s="130" t="s">
        <v>20</v>
      </c>
      <c r="F279" s="132">
        <v>1862.92</v>
      </c>
      <c r="G279" s="132">
        <v>1216.3900000000001</v>
      </c>
      <c r="H279" s="133"/>
      <c r="I279" s="134">
        <v>1862.92</v>
      </c>
      <c r="J279" s="134">
        <v>1216.3900000000001</v>
      </c>
      <c r="K279" s="100">
        <v>45</v>
      </c>
      <c r="L279" s="100">
        <v>7</v>
      </c>
    </row>
    <row r="280" spans="1:256">
      <c r="A280" s="121"/>
      <c r="B280" s="135" t="s">
        <v>798</v>
      </c>
      <c r="C280" s="135" t="s">
        <v>857</v>
      </c>
      <c r="D280" s="136" t="s">
        <v>858</v>
      </c>
      <c r="E280" s="137" t="s">
        <v>147</v>
      </c>
      <c r="F280" s="137">
        <v>32</v>
      </c>
      <c r="G280" s="137">
        <v>0</v>
      </c>
      <c r="H280" s="138">
        <v>5</v>
      </c>
      <c r="I280" s="139">
        <v>6.4</v>
      </c>
      <c r="J280" s="139">
        <v>0</v>
      </c>
      <c r="K280" s="100">
        <v>45</v>
      </c>
      <c r="L280" s="100">
        <v>15420</v>
      </c>
    </row>
    <row r="281" spans="1:256">
      <c r="A281" s="121"/>
      <c r="B281" s="135" t="s">
        <v>720</v>
      </c>
      <c r="C281" s="135" t="s">
        <v>859</v>
      </c>
      <c r="D281" s="136" t="s">
        <v>860</v>
      </c>
      <c r="E281" s="137" t="s">
        <v>49</v>
      </c>
      <c r="F281" s="137">
        <v>994.59</v>
      </c>
      <c r="G281" s="137">
        <v>994.59</v>
      </c>
      <c r="H281" s="138">
        <v>1.59</v>
      </c>
      <c r="I281" s="139">
        <v>625.53</v>
      </c>
      <c r="J281" s="139">
        <v>625.53</v>
      </c>
      <c r="K281" s="100">
        <v>45</v>
      </c>
      <c r="L281" s="100">
        <v>64</v>
      </c>
    </row>
    <row r="282" spans="1:256">
      <c r="A282" s="121"/>
      <c r="B282" s="135" t="s">
        <v>707</v>
      </c>
      <c r="C282" s="135" t="s">
        <v>733</v>
      </c>
      <c r="D282" s="136" t="s">
        <v>734</v>
      </c>
      <c r="E282" s="137" t="s">
        <v>710</v>
      </c>
      <c r="F282" s="137">
        <v>73.290000000000006</v>
      </c>
      <c r="G282" s="137">
        <v>0</v>
      </c>
      <c r="H282" s="138">
        <v>3</v>
      </c>
      <c r="I282" s="139">
        <v>24.43</v>
      </c>
      <c r="J282" s="139">
        <v>0</v>
      </c>
      <c r="K282" s="100">
        <v>45</v>
      </c>
      <c r="L282" s="100">
        <v>7212</v>
      </c>
    </row>
    <row r="283" spans="1:256">
      <c r="A283" s="121"/>
      <c r="B283" s="135" t="s">
        <v>707</v>
      </c>
      <c r="C283" s="135" t="s">
        <v>714</v>
      </c>
      <c r="D283" s="136" t="s">
        <v>715</v>
      </c>
      <c r="E283" s="137" t="s">
        <v>710</v>
      </c>
      <c r="F283" s="137">
        <v>53.31</v>
      </c>
      <c r="G283" s="137">
        <v>0</v>
      </c>
      <c r="H283" s="138">
        <v>3</v>
      </c>
      <c r="I283" s="139">
        <v>17.77</v>
      </c>
      <c r="J283" s="139">
        <v>0</v>
      </c>
      <c r="K283" s="100">
        <v>45</v>
      </c>
      <c r="L283" s="100">
        <v>7219</v>
      </c>
    </row>
    <row r="284" spans="1:256" ht="33.75">
      <c r="A284" s="121"/>
      <c r="B284" s="135" t="s">
        <v>707</v>
      </c>
      <c r="C284" s="135" t="s">
        <v>952</v>
      </c>
      <c r="D284" s="136" t="s">
        <v>953</v>
      </c>
      <c r="E284" s="137" t="s">
        <v>248</v>
      </c>
      <c r="F284" s="137">
        <v>478.93</v>
      </c>
      <c r="G284" s="137">
        <v>0</v>
      </c>
      <c r="H284" s="138">
        <v>1</v>
      </c>
      <c r="I284" s="139">
        <v>478.93</v>
      </c>
      <c r="J284" s="139">
        <v>0</v>
      </c>
      <c r="K284" s="100">
        <v>45</v>
      </c>
      <c r="L284" s="100">
        <v>5158</v>
      </c>
    </row>
    <row r="285" spans="1:256">
      <c r="A285" s="121"/>
      <c r="B285" s="135" t="s">
        <v>720</v>
      </c>
      <c r="C285" s="135" t="s">
        <v>893</v>
      </c>
      <c r="D285" s="136" t="s">
        <v>894</v>
      </c>
      <c r="E285" s="137" t="s">
        <v>20</v>
      </c>
      <c r="F285" s="137">
        <v>221.8</v>
      </c>
      <c r="G285" s="137">
        <v>221.8</v>
      </c>
      <c r="H285" s="138">
        <v>0.5</v>
      </c>
      <c r="I285" s="139">
        <v>443.61</v>
      </c>
      <c r="J285" s="139">
        <v>443.61</v>
      </c>
      <c r="K285" s="100">
        <v>45</v>
      </c>
      <c r="L285" s="100">
        <v>65</v>
      </c>
    </row>
    <row r="286" spans="1:256" ht="22.5">
      <c r="A286" s="121"/>
      <c r="B286" s="135" t="s">
        <v>703</v>
      </c>
      <c r="C286" s="135" t="s">
        <v>711</v>
      </c>
      <c r="D286" s="136" t="s">
        <v>712</v>
      </c>
      <c r="E286" s="137" t="s">
        <v>713</v>
      </c>
      <c r="F286" s="137">
        <v>9</v>
      </c>
      <c r="G286" s="137">
        <v>0</v>
      </c>
      <c r="H286" s="138">
        <v>1.2</v>
      </c>
      <c r="I286" s="139">
        <v>7.5</v>
      </c>
      <c r="J286" s="139">
        <v>0</v>
      </c>
      <c r="K286" s="100">
        <v>45</v>
      </c>
      <c r="L286" s="100">
        <v>10953</v>
      </c>
    </row>
    <row r="287" spans="1:256">
      <c r="A287" s="101"/>
      <c r="B287" s="112"/>
      <c r="C287" s="128"/>
      <c r="D287" s="114"/>
      <c r="E287" s="112"/>
      <c r="F287" s="112"/>
      <c r="G287" s="112"/>
      <c r="H287" s="112"/>
      <c r="I287" s="110"/>
      <c r="J287" s="111"/>
      <c r="K287" s="99">
        <v>45</v>
      </c>
      <c r="IU287" s="99"/>
      <c r="IV287" s="99"/>
    </row>
    <row r="288" spans="1:256">
      <c r="A288" s="129" t="s">
        <v>954</v>
      </c>
      <c r="B288" s="130" t="s">
        <v>688</v>
      </c>
      <c r="C288" s="130" t="s">
        <v>492</v>
      </c>
      <c r="D288" s="131" t="s">
        <v>296</v>
      </c>
      <c r="E288" s="130" t="s">
        <v>49</v>
      </c>
      <c r="F288" s="132">
        <v>269.74</v>
      </c>
      <c r="G288" s="132">
        <v>221.8</v>
      </c>
      <c r="H288" s="133"/>
      <c r="I288" s="134">
        <v>269.74</v>
      </c>
      <c r="J288" s="134">
        <v>221.8</v>
      </c>
      <c r="K288" s="100">
        <v>46</v>
      </c>
      <c r="L288" s="100">
        <v>5</v>
      </c>
    </row>
    <row r="289" spans="1:256">
      <c r="A289" s="121"/>
      <c r="B289" s="135" t="s">
        <v>720</v>
      </c>
      <c r="C289" s="135" t="s">
        <v>893</v>
      </c>
      <c r="D289" s="136" t="s">
        <v>894</v>
      </c>
      <c r="E289" s="137" t="s">
        <v>20</v>
      </c>
      <c r="F289" s="137">
        <v>221.8</v>
      </c>
      <c r="G289" s="137">
        <v>221.8</v>
      </c>
      <c r="H289" s="138">
        <v>0.5</v>
      </c>
      <c r="I289" s="139">
        <v>443.61</v>
      </c>
      <c r="J289" s="139">
        <v>443.61</v>
      </c>
      <c r="K289" s="100">
        <v>46</v>
      </c>
      <c r="L289" s="100">
        <v>65</v>
      </c>
    </row>
    <row r="290" spans="1:256" ht="22.5">
      <c r="A290" s="121"/>
      <c r="B290" s="135" t="s">
        <v>703</v>
      </c>
      <c r="C290" s="135" t="s">
        <v>711</v>
      </c>
      <c r="D290" s="136" t="s">
        <v>712</v>
      </c>
      <c r="E290" s="137" t="s">
        <v>713</v>
      </c>
      <c r="F290" s="137">
        <v>15</v>
      </c>
      <c r="G290" s="137">
        <v>0</v>
      </c>
      <c r="H290" s="138">
        <v>2</v>
      </c>
      <c r="I290" s="139">
        <v>7.5</v>
      </c>
      <c r="J290" s="139">
        <v>0</v>
      </c>
      <c r="K290" s="100">
        <v>46</v>
      </c>
      <c r="L290" s="100">
        <v>10953</v>
      </c>
    </row>
    <row r="291" spans="1:256">
      <c r="A291" s="121"/>
      <c r="B291" s="135" t="s">
        <v>707</v>
      </c>
      <c r="C291" s="135" t="s">
        <v>778</v>
      </c>
      <c r="D291" s="136" t="s">
        <v>779</v>
      </c>
      <c r="E291" s="137" t="s">
        <v>710</v>
      </c>
      <c r="F291" s="137">
        <v>24.15</v>
      </c>
      <c r="G291" s="137">
        <v>0</v>
      </c>
      <c r="H291" s="138">
        <v>1</v>
      </c>
      <c r="I291" s="139">
        <v>24.15</v>
      </c>
      <c r="J291" s="139">
        <v>0</v>
      </c>
      <c r="K291" s="100">
        <v>46</v>
      </c>
      <c r="L291" s="100">
        <v>7182</v>
      </c>
    </row>
    <row r="292" spans="1:256" ht="22.5">
      <c r="A292" s="121"/>
      <c r="B292" s="135" t="s">
        <v>703</v>
      </c>
      <c r="C292" s="135" t="s">
        <v>704</v>
      </c>
      <c r="D292" s="136" t="s">
        <v>705</v>
      </c>
      <c r="E292" s="137" t="s">
        <v>706</v>
      </c>
      <c r="F292" s="137">
        <v>7.17</v>
      </c>
      <c r="G292" s="137">
        <v>0</v>
      </c>
      <c r="H292" s="138">
        <v>0.3</v>
      </c>
      <c r="I292" s="139">
        <v>23.9</v>
      </c>
      <c r="J292" s="139">
        <v>0</v>
      </c>
      <c r="K292" s="100">
        <v>46</v>
      </c>
      <c r="L292" s="100">
        <v>9876</v>
      </c>
    </row>
    <row r="293" spans="1:256" ht="22.5">
      <c r="A293" s="121"/>
      <c r="B293" s="135" t="s">
        <v>703</v>
      </c>
      <c r="C293" s="135" t="s">
        <v>955</v>
      </c>
      <c r="D293" s="136" t="s">
        <v>956</v>
      </c>
      <c r="E293" s="137" t="s">
        <v>433</v>
      </c>
      <c r="F293" s="137">
        <v>1.62</v>
      </c>
      <c r="G293" s="137">
        <v>0</v>
      </c>
      <c r="H293" s="138">
        <v>3</v>
      </c>
      <c r="I293" s="139">
        <v>0.54</v>
      </c>
      <c r="J293" s="139">
        <v>0</v>
      </c>
      <c r="K293" s="100">
        <v>46</v>
      </c>
      <c r="L293" s="100">
        <v>8170</v>
      </c>
    </row>
    <row r="294" spans="1:256">
      <c r="A294" s="101"/>
      <c r="B294" s="112"/>
      <c r="C294" s="128"/>
      <c r="D294" s="114"/>
      <c r="E294" s="112"/>
      <c r="F294" s="112"/>
      <c r="G294" s="112"/>
      <c r="H294" s="112"/>
      <c r="I294" s="110"/>
      <c r="J294" s="111"/>
      <c r="K294" s="99">
        <v>46</v>
      </c>
      <c r="IU294" s="99"/>
      <c r="IV294" s="99"/>
    </row>
    <row r="295" spans="1:256">
      <c r="A295" s="129" t="s">
        <v>957</v>
      </c>
      <c r="B295" s="130" t="s">
        <v>688</v>
      </c>
      <c r="C295" s="130" t="s">
        <v>295</v>
      </c>
      <c r="D295" s="131" t="s">
        <v>244</v>
      </c>
      <c r="E295" s="130" t="s">
        <v>20</v>
      </c>
      <c r="F295" s="132">
        <v>216.98</v>
      </c>
      <c r="G295" s="132">
        <v>129.9</v>
      </c>
      <c r="H295" s="133"/>
      <c r="I295" s="134">
        <v>216.98</v>
      </c>
      <c r="J295" s="134">
        <v>129.9</v>
      </c>
      <c r="K295" s="100">
        <v>47</v>
      </c>
      <c r="L295" s="100">
        <v>5</v>
      </c>
    </row>
    <row r="296" spans="1:256">
      <c r="A296" s="121"/>
      <c r="B296" s="135" t="s">
        <v>720</v>
      </c>
      <c r="C296" s="135" t="s">
        <v>958</v>
      </c>
      <c r="D296" s="136" t="s">
        <v>959</v>
      </c>
      <c r="E296" s="137" t="s">
        <v>20</v>
      </c>
      <c r="F296" s="137">
        <v>129.9</v>
      </c>
      <c r="G296" s="137">
        <v>129.9</v>
      </c>
      <c r="H296" s="138">
        <v>1</v>
      </c>
      <c r="I296" s="139">
        <v>129.9</v>
      </c>
      <c r="J296" s="139">
        <v>129.9</v>
      </c>
      <c r="K296" s="100">
        <v>47</v>
      </c>
      <c r="L296" s="100">
        <v>68</v>
      </c>
    </row>
    <row r="297" spans="1:256">
      <c r="A297" s="121"/>
      <c r="B297" s="135" t="s">
        <v>707</v>
      </c>
      <c r="C297" s="135" t="s">
        <v>778</v>
      </c>
      <c r="D297" s="136" t="s">
        <v>779</v>
      </c>
      <c r="E297" s="137" t="s">
        <v>710</v>
      </c>
      <c r="F297" s="137">
        <v>48.3</v>
      </c>
      <c r="G297" s="137">
        <v>0</v>
      </c>
      <c r="H297" s="138">
        <v>2</v>
      </c>
      <c r="I297" s="139">
        <v>24.15</v>
      </c>
      <c r="J297" s="139">
        <v>0</v>
      </c>
      <c r="K297" s="100">
        <v>47</v>
      </c>
      <c r="L297" s="100">
        <v>7182</v>
      </c>
    </row>
    <row r="298" spans="1:256">
      <c r="A298" s="121"/>
      <c r="B298" s="135" t="s">
        <v>707</v>
      </c>
      <c r="C298" s="135" t="s">
        <v>714</v>
      </c>
      <c r="D298" s="136" t="s">
        <v>715</v>
      </c>
      <c r="E298" s="137" t="s">
        <v>710</v>
      </c>
      <c r="F298" s="137">
        <v>35.54</v>
      </c>
      <c r="G298" s="137">
        <v>0</v>
      </c>
      <c r="H298" s="138">
        <v>2</v>
      </c>
      <c r="I298" s="139">
        <v>17.77</v>
      </c>
      <c r="J298" s="139">
        <v>0</v>
      </c>
      <c r="K298" s="100">
        <v>47</v>
      </c>
      <c r="L298" s="100">
        <v>7219</v>
      </c>
    </row>
    <row r="299" spans="1:256" ht="22.5">
      <c r="A299" s="121"/>
      <c r="B299" s="135" t="s">
        <v>703</v>
      </c>
      <c r="C299" s="135" t="s">
        <v>955</v>
      </c>
      <c r="D299" s="136" t="s">
        <v>956</v>
      </c>
      <c r="E299" s="137" t="s">
        <v>433</v>
      </c>
      <c r="F299" s="137">
        <v>3.24</v>
      </c>
      <c r="G299" s="137">
        <v>0</v>
      </c>
      <c r="H299" s="138">
        <v>6</v>
      </c>
      <c r="I299" s="139">
        <v>0.54</v>
      </c>
      <c r="J299" s="139">
        <v>0</v>
      </c>
      <c r="K299" s="100">
        <v>47</v>
      </c>
      <c r="L299" s="100">
        <v>8170</v>
      </c>
    </row>
    <row r="300" spans="1:256">
      <c r="A300" s="121"/>
      <c r="B300" s="135"/>
      <c r="C300" s="135"/>
      <c r="D300" s="136"/>
      <c r="E300" s="137"/>
      <c r="F300" s="137">
        <v>0</v>
      </c>
      <c r="G300" s="137">
        <v>0</v>
      </c>
      <c r="H300" s="138"/>
      <c r="I300" s="139">
        <v>0</v>
      </c>
      <c r="J300" s="139">
        <v>0</v>
      </c>
      <c r="K300" s="100">
        <v>47</v>
      </c>
      <c r="L300" s="100" t="e">
        <f>NA()</f>
        <v>#N/A</v>
      </c>
    </row>
    <row r="301" spans="1:256">
      <c r="A301" s="101"/>
      <c r="B301" s="112"/>
      <c r="C301" s="128"/>
      <c r="D301" s="114"/>
      <c r="E301" s="112"/>
      <c r="F301" s="112"/>
      <c r="G301" s="112"/>
      <c r="H301" s="112"/>
      <c r="I301" s="110"/>
      <c r="J301" s="111"/>
      <c r="K301" s="99">
        <v>47</v>
      </c>
      <c r="IU301" s="99"/>
      <c r="IV301" s="99"/>
    </row>
    <row r="302" spans="1:256">
      <c r="A302" s="129" t="s">
        <v>960</v>
      </c>
      <c r="B302" s="130" t="s">
        <v>688</v>
      </c>
      <c r="C302" s="130" t="s">
        <v>243</v>
      </c>
      <c r="D302" s="131" t="s">
        <v>525</v>
      </c>
      <c r="E302" s="130" t="s">
        <v>20</v>
      </c>
      <c r="F302" s="132">
        <v>335.26</v>
      </c>
      <c r="G302" s="132">
        <v>225</v>
      </c>
      <c r="H302" s="133"/>
      <c r="I302" s="134">
        <v>335.26</v>
      </c>
      <c r="J302" s="134">
        <v>225</v>
      </c>
      <c r="K302" s="100">
        <v>48</v>
      </c>
      <c r="L302" s="100">
        <v>5</v>
      </c>
    </row>
    <row r="303" spans="1:256">
      <c r="A303" s="121"/>
      <c r="B303" s="135" t="s">
        <v>720</v>
      </c>
      <c r="C303" s="135" t="s">
        <v>961</v>
      </c>
      <c r="D303" s="136" t="s">
        <v>962</v>
      </c>
      <c r="E303" s="137" t="s">
        <v>20</v>
      </c>
      <c r="F303" s="137">
        <v>225</v>
      </c>
      <c r="G303" s="137">
        <v>225</v>
      </c>
      <c r="H303" s="138">
        <v>1</v>
      </c>
      <c r="I303" s="139">
        <v>225</v>
      </c>
      <c r="J303" s="139">
        <v>225</v>
      </c>
      <c r="K303" s="100">
        <v>48</v>
      </c>
      <c r="L303" s="100">
        <v>69</v>
      </c>
    </row>
    <row r="304" spans="1:256">
      <c r="A304" s="121"/>
      <c r="B304" s="135" t="s">
        <v>707</v>
      </c>
      <c r="C304" s="135" t="s">
        <v>735</v>
      </c>
      <c r="D304" s="136" t="s">
        <v>736</v>
      </c>
      <c r="E304" s="137" t="s">
        <v>710</v>
      </c>
      <c r="F304" s="137">
        <v>47.38</v>
      </c>
      <c r="G304" s="137">
        <v>0</v>
      </c>
      <c r="H304" s="138">
        <v>2</v>
      </c>
      <c r="I304" s="139">
        <v>23.69</v>
      </c>
      <c r="J304" s="139">
        <v>0</v>
      </c>
      <c r="K304" s="100">
        <v>48</v>
      </c>
      <c r="L304" s="100">
        <v>7178</v>
      </c>
    </row>
    <row r="305" spans="1:256" ht="22.5">
      <c r="A305" s="121"/>
      <c r="B305" s="135" t="s">
        <v>707</v>
      </c>
      <c r="C305" s="135" t="s">
        <v>963</v>
      </c>
      <c r="D305" s="136" t="s">
        <v>964</v>
      </c>
      <c r="E305" s="137" t="s">
        <v>710</v>
      </c>
      <c r="F305" s="137">
        <v>38.14</v>
      </c>
      <c r="G305" s="137">
        <v>0</v>
      </c>
      <c r="H305" s="138">
        <v>2</v>
      </c>
      <c r="I305" s="139">
        <v>19.07</v>
      </c>
      <c r="J305" s="139">
        <v>0</v>
      </c>
      <c r="K305" s="100">
        <v>48</v>
      </c>
      <c r="L305" s="100">
        <v>7161</v>
      </c>
    </row>
    <row r="306" spans="1:256">
      <c r="A306" s="121"/>
      <c r="B306" s="135" t="s">
        <v>707</v>
      </c>
      <c r="C306" s="135" t="s">
        <v>965</v>
      </c>
      <c r="D306" s="136" t="s">
        <v>966</v>
      </c>
      <c r="E306" s="137" t="s">
        <v>710</v>
      </c>
      <c r="F306" s="137">
        <v>24.74</v>
      </c>
      <c r="G306" s="137">
        <v>0</v>
      </c>
      <c r="H306" s="138">
        <v>1</v>
      </c>
      <c r="I306" s="139">
        <v>24.74</v>
      </c>
      <c r="J306" s="139">
        <v>0</v>
      </c>
      <c r="K306" s="100">
        <v>48</v>
      </c>
      <c r="L306" s="100">
        <v>7175</v>
      </c>
    </row>
    <row r="307" spans="1:256">
      <c r="A307" s="121"/>
      <c r="B307" s="135"/>
      <c r="C307" s="135"/>
      <c r="D307" s="136"/>
      <c r="E307" s="137"/>
      <c r="F307" s="137">
        <v>0</v>
      </c>
      <c r="G307" s="137">
        <v>0</v>
      </c>
      <c r="H307" s="138"/>
      <c r="I307" s="139">
        <v>0</v>
      </c>
      <c r="J307" s="139">
        <v>0</v>
      </c>
      <c r="K307" s="100">
        <v>48</v>
      </c>
      <c r="L307" s="100" t="e">
        <f>NA()</f>
        <v>#N/A</v>
      </c>
    </row>
    <row r="308" spans="1:256">
      <c r="A308" s="101"/>
      <c r="B308" s="112"/>
      <c r="C308" s="128"/>
      <c r="D308" s="114"/>
      <c r="E308" s="112"/>
      <c r="F308" s="112"/>
      <c r="G308" s="112"/>
      <c r="H308" s="112"/>
      <c r="I308" s="110"/>
      <c r="J308" s="111"/>
      <c r="K308" s="99">
        <v>48</v>
      </c>
      <c r="IU308" s="99"/>
      <c r="IV308" s="99"/>
    </row>
    <row r="309" spans="1:256" ht="22.5">
      <c r="A309" s="129" t="s">
        <v>967</v>
      </c>
      <c r="B309" s="130" t="s">
        <v>688</v>
      </c>
      <c r="C309" s="130" t="s">
        <v>524</v>
      </c>
      <c r="D309" s="131" t="s">
        <v>629</v>
      </c>
      <c r="E309" s="130" t="s">
        <v>20</v>
      </c>
      <c r="F309" s="132">
        <v>32.08</v>
      </c>
      <c r="G309" s="132">
        <v>25.64</v>
      </c>
      <c r="H309" s="133"/>
      <c r="I309" s="134">
        <v>32.08</v>
      </c>
      <c r="J309" s="134">
        <v>25.64</v>
      </c>
      <c r="K309" s="100">
        <v>49</v>
      </c>
      <c r="L309" s="100">
        <v>5</v>
      </c>
    </row>
    <row r="310" spans="1:256">
      <c r="A310" s="121"/>
      <c r="B310" s="135" t="s">
        <v>720</v>
      </c>
      <c r="C310" s="135" t="s">
        <v>968</v>
      </c>
      <c r="D310" s="136" t="s">
        <v>969</v>
      </c>
      <c r="E310" s="137" t="s">
        <v>20</v>
      </c>
      <c r="F310" s="137">
        <v>25.64</v>
      </c>
      <c r="G310" s="137">
        <v>25.64</v>
      </c>
      <c r="H310" s="138">
        <v>1</v>
      </c>
      <c r="I310" s="139">
        <v>25.64</v>
      </c>
      <c r="J310" s="139">
        <v>25.64</v>
      </c>
      <c r="K310" s="100">
        <v>49</v>
      </c>
      <c r="L310" s="100">
        <v>70</v>
      </c>
    </row>
    <row r="311" spans="1:256">
      <c r="A311" s="121"/>
      <c r="B311" s="135" t="s">
        <v>798</v>
      </c>
      <c r="C311" s="135" t="s">
        <v>970</v>
      </c>
      <c r="D311" s="136" t="s">
        <v>971</v>
      </c>
      <c r="E311" s="137" t="s">
        <v>972</v>
      </c>
      <c r="F311" s="137">
        <v>2.54</v>
      </c>
      <c r="G311" s="137">
        <v>0</v>
      </c>
      <c r="H311" s="138">
        <v>0.06</v>
      </c>
      <c r="I311" s="139">
        <v>42.42</v>
      </c>
      <c r="J311" s="139">
        <v>0</v>
      </c>
      <c r="K311" s="100">
        <v>49</v>
      </c>
      <c r="L311" s="100">
        <v>16713</v>
      </c>
    </row>
    <row r="312" spans="1:256">
      <c r="A312" s="121"/>
      <c r="B312" s="135" t="s">
        <v>707</v>
      </c>
      <c r="C312" s="135" t="s">
        <v>733</v>
      </c>
      <c r="D312" s="136" t="s">
        <v>734</v>
      </c>
      <c r="E312" s="137" t="s">
        <v>710</v>
      </c>
      <c r="F312" s="137">
        <v>3.9</v>
      </c>
      <c r="G312" s="137">
        <v>0</v>
      </c>
      <c r="H312" s="138">
        <v>0.16</v>
      </c>
      <c r="I312" s="139">
        <v>24.43</v>
      </c>
      <c r="J312" s="139">
        <v>0</v>
      </c>
      <c r="K312" s="100">
        <v>49</v>
      </c>
      <c r="L312" s="100">
        <v>7212</v>
      </c>
    </row>
    <row r="313" spans="1:256">
      <c r="A313" s="121"/>
      <c r="B313" s="135"/>
      <c r="C313" s="135"/>
      <c r="D313" s="136"/>
      <c r="E313" s="137"/>
      <c r="F313" s="137">
        <v>0</v>
      </c>
      <c r="G313" s="137">
        <v>0</v>
      </c>
      <c r="H313" s="138"/>
      <c r="I313" s="139">
        <v>0</v>
      </c>
      <c r="J313" s="139">
        <v>0</v>
      </c>
      <c r="K313" s="100">
        <v>49</v>
      </c>
      <c r="L313" s="100" t="e">
        <f>NA()</f>
        <v>#N/A</v>
      </c>
    </row>
    <row r="314" spans="1:256">
      <c r="A314" s="121"/>
      <c r="B314" s="135"/>
      <c r="C314" s="135"/>
      <c r="D314" s="136"/>
      <c r="E314" s="137"/>
      <c r="F314" s="137">
        <v>0</v>
      </c>
      <c r="G314" s="137">
        <v>0</v>
      </c>
      <c r="H314" s="138"/>
      <c r="I314" s="139">
        <v>0</v>
      </c>
      <c r="J314" s="139">
        <v>0</v>
      </c>
      <c r="K314" s="100">
        <v>49</v>
      </c>
      <c r="L314" s="100" t="e">
        <f>NA()</f>
        <v>#N/A</v>
      </c>
    </row>
    <row r="315" spans="1:256">
      <c r="A315" s="101"/>
      <c r="B315" s="112"/>
      <c r="C315" s="128"/>
      <c r="D315" s="114"/>
      <c r="E315" s="112"/>
      <c r="F315" s="112"/>
      <c r="G315" s="112"/>
      <c r="H315" s="112"/>
      <c r="I315" s="110"/>
      <c r="J315" s="111"/>
      <c r="K315" s="99">
        <v>49</v>
      </c>
      <c r="IU315" s="99"/>
      <c r="IV315" s="99"/>
    </row>
    <row r="316" spans="1:256">
      <c r="A316" s="129" t="s">
        <v>973</v>
      </c>
      <c r="B316" s="130" t="s">
        <v>688</v>
      </c>
      <c r="C316" s="130" t="s">
        <v>628</v>
      </c>
      <c r="D316" s="131" t="s">
        <v>481</v>
      </c>
      <c r="E316" s="130" t="s">
        <v>20</v>
      </c>
      <c r="F316" s="132">
        <v>158.6</v>
      </c>
      <c r="G316" s="132">
        <v>0</v>
      </c>
      <c r="H316" s="133"/>
      <c r="I316" s="134">
        <v>158.6</v>
      </c>
      <c r="J316" s="134">
        <v>0</v>
      </c>
      <c r="K316" s="100">
        <v>50</v>
      </c>
      <c r="L316" s="100">
        <v>4</v>
      </c>
    </row>
    <row r="317" spans="1:256">
      <c r="A317" s="121"/>
      <c r="B317" s="135" t="s">
        <v>798</v>
      </c>
      <c r="C317" s="135" t="s">
        <v>857</v>
      </c>
      <c r="D317" s="136" t="s">
        <v>858</v>
      </c>
      <c r="E317" s="137" t="s">
        <v>147</v>
      </c>
      <c r="F317" s="137">
        <v>32</v>
      </c>
      <c r="G317" s="137">
        <v>0</v>
      </c>
      <c r="H317" s="138">
        <v>5</v>
      </c>
      <c r="I317" s="139">
        <v>6.4</v>
      </c>
      <c r="J317" s="139">
        <v>0</v>
      </c>
      <c r="K317" s="100">
        <v>50</v>
      </c>
      <c r="L317" s="100">
        <v>15420</v>
      </c>
    </row>
    <row r="318" spans="1:256">
      <c r="A318" s="121"/>
      <c r="B318" s="135" t="s">
        <v>707</v>
      </c>
      <c r="C318" s="135" t="s">
        <v>733</v>
      </c>
      <c r="D318" s="136" t="s">
        <v>734</v>
      </c>
      <c r="E318" s="137" t="s">
        <v>710</v>
      </c>
      <c r="F318" s="137">
        <v>73.290000000000006</v>
      </c>
      <c r="G318" s="137">
        <v>0</v>
      </c>
      <c r="H318" s="138">
        <v>3</v>
      </c>
      <c r="I318" s="139">
        <v>24.43</v>
      </c>
      <c r="J318" s="139">
        <v>0</v>
      </c>
      <c r="K318" s="100">
        <v>50</v>
      </c>
      <c r="L318" s="100">
        <v>7212</v>
      </c>
    </row>
    <row r="319" spans="1:256">
      <c r="A319" s="121"/>
      <c r="B319" s="135" t="s">
        <v>707</v>
      </c>
      <c r="C319" s="135" t="s">
        <v>714</v>
      </c>
      <c r="D319" s="136" t="s">
        <v>715</v>
      </c>
      <c r="E319" s="137" t="s">
        <v>710</v>
      </c>
      <c r="F319" s="137">
        <v>53.31</v>
      </c>
      <c r="G319" s="137">
        <v>0</v>
      </c>
      <c r="H319" s="138">
        <v>3</v>
      </c>
      <c r="I319" s="139">
        <v>17.77</v>
      </c>
      <c r="J319" s="139">
        <v>0</v>
      </c>
      <c r="K319" s="100">
        <v>50</v>
      </c>
      <c r="L319" s="100">
        <v>7219</v>
      </c>
    </row>
    <row r="320" spans="1:256">
      <c r="A320" s="121"/>
      <c r="B320" s="135"/>
      <c r="C320" s="135"/>
      <c r="D320" s="136"/>
      <c r="E320" s="137"/>
      <c r="F320" s="137">
        <v>0</v>
      </c>
      <c r="G320" s="137">
        <v>0</v>
      </c>
      <c r="H320" s="138"/>
      <c r="I320" s="139">
        <v>0</v>
      </c>
      <c r="J320" s="139">
        <v>0</v>
      </c>
      <c r="K320" s="100">
        <v>50</v>
      </c>
      <c r="L320" s="100" t="e">
        <f>NA()</f>
        <v>#N/A</v>
      </c>
    </row>
    <row r="321" spans="1:256">
      <c r="A321" s="101"/>
      <c r="B321" s="112"/>
      <c r="C321" s="128"/>
      <c r="D321" s="114"/>
      <c r="E321" s="112"/>
      <c r="F321" s="112"/>
      <c r="G321" s="112"/>
      <c r="H321" s="112"/>
      <c r="I321" s="110"/>
      <c r="J321" s="111"/>
      <c r="K321" s="99">
        <v>50</v>
      </c>
      <c r="IU321" s="99"/>
      <c r="IV321" s="99"/>
    </row>
    <row r="322" spans="1:256">
      <c r="A322" s="121"/>
      <c r="B322" s="100" t="s">
        <v>974</v>
      </c>
      <c r="C322" s="100"/>
      <c r="D322" s="100"/>
      <c r="E322" s="204" t="s">
        <v>975</v>
      </c>
      <c r="F322" s="204"/>
      <c r="G322" s="204"/>
      <c r="H322" s="204"/>
      <c r="I322" s="205"/>
      <c r="J322" s="205"/>
    </row>
    <row r="323" spans="1:256">
      <c r="A323" s="140"/>
      <c r="B323" s="141"/>
      <c r="C323" s="141"/>
      <c r="D323" s="141"/>
      <c r="E323" s="206" t="s">
        <v>976</v>
      </c>
      <c r="F323" s="206"/>
      <c r="G323" s="206"/>
      <c r="H323" s="206"/>
      <c r="I323" s="207"/>
      <c r="J323" s="207"/>
    </row>
  </sheetData>
  <sheetProtection selectLockedCells="1" selectUnlockedCells="1"/>
  <mergeCells count="5">
    <mergeCell ref="B1:J1"/>
    <mergeCell ref="E322:H322"/>
    <mergeCell ref="I322:J322"/>
    <mergeCell ref="E323:H323"/>
    <mergeCell ref="I323:J323"/>
  </mergeCells>
  <pageMargins left="0.74803149606299213" right="0.74803149606299213" top="0.98425196850393704" bottom="0.98425196850393704" header="0.51181102362204722" footer="0.51181102362204722"/>
  <pageSetup paperSize="9" scale="66" firstPageNumber="0" orientation="portrait" horizontalDpi="300" verticalDpi="300" r:id="rId1"/>
  <headerFooter alignWithMargins="0"/>
  <rowBreaks count="4" manualBreakCount="4">
    <brk id="71" max="16383" man="1"/>
    <brk id="133" max="16383" man="1"/>
    <brk id="206" max="9" man="1"/>
    <brk id="262" max="16383" man="1"/>
  </rowBreaks>
  <colBreaks count="1" manualBreakCount="1">
    <brk id="12" max="32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12</vt:i4>
      </vt:variant>
    </vt:vector>
  </HeadingPairs>
  <TitlesOfParts>
    <vt:vector size="15" baseType="lpstr">
      <vt:lpstr>ORÇAMENTARIA- Atualizada Breno</vt:lpstr>
      <vt:lpstr>Cronograma</vt:lpstr>
      <vt:lpstr>COMPOSIÇÕES (2)</vt:lpstr>
      <vt:lpstr>'ORÇAMENTARIA- Atualizada Breno'!__xlnm_Print_Area</vt:lpstr>
      <vt:lpstr>'ORÇAMENTARIA- Atualizada Breno'!__xlnm_Print_Titles</vt:lpstr>
      <vt:lpstr>'ORÇAMENTARIA- Atualizada Breno'!__xlnm_Print_Titles_0</vt:lpstr>
      <vt:lpstr>'COMPOSIÇÕES (2)'!Area_de_impressao</vt:lpstr>
      <vt:lpstr>Cronograma!Area_de_impressao</vt:lpstr>
      <vt:lpstr>'ORÇAMENTARIA- Atualizada Breno'!Area_de_impressao</vt:lpstr>
      <vt:lpstr>'ORÇAMENTARIA- Atualizada Breno'!Excel_BuiltIn__FilterDatabase</vt:lpstr>
      <vt:lpstr>'ORÇAMENTARIA- Atualizada Breno'!Excel_BuiltIn_Print_Area</vt:lpstr>
      <vt:lpstr>'ORÇAMENTARIA- Atualizada Breno'!Excel_BuiltIn_Print_Titles</vt:lpstr>
      <vt:lpstr>'ORÇAMENTARIA- Atualizada Breno'!ORÇAMENTO_BancoRef</vt:lpstr>
      <vt:lpstr>'COMPOSIÇÕES (2)'!Titulos_de_impressao</vt:lpstr>
      <vt:lpstr>'ORÇAMENTARIA- Atualizada Breno'!Titulos_de_impressao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anacdamasceno</dc:creator>
  <cp:lastModifiedBy>andrefernandes</cp:lastModifiedBy>
  <cp:lastPrinted>2023-09-28T19:49:41Z</cp:lastPrinted>
  <dcterms:created xsi:type="dcterms:W3CDTF">2023-08-07T12:02:43Z</dcterms:created>
  <dcterms:modified xsi:type="dcterms:W3CDTF">2023-09-28T19:56:30Z</dcterms:modified>
</cp:coreProperties>
</file>